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221158\Downloads\"/>
    </mc:Choice>
  </mc:AlternateContent>
  <xr:revisionPtr revIDLastSave="0" documentId="13_ncr:1_{FBA9420B-98E3-4648-9859-3609577A27C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example graphs" sheetId="10" state="hidden" r:id="rId1"/>
    <sheet name="Instructions" sheetId="12" r:id="rId2"/>
    <sheet name="Cash Contribution Calculator" sheetId="11" r:id="rId3"/>
    <sheet name="Facility Funding" sheetId="6" r:id="rId4"/>
    <sheet name="data" sheetId="4" state="hidden" r:id="rId5"/>
    <sheet name="example data" sheetId="9" state="hidden" r:id="rId6"/>
    <sheet name="Summary" sheetId="7" state="hidden" r:id="rId7"/>
  </sheets>
  <definedNames>
    <definedName name="_xlnm._FilterDatabase" localSheetId="4" hidden="1">data!$B$2:$D$37</definedName>
    <definedName name="_xlnm._FilterDatabase" localSheetId="5" hidden="1">'example data'!$L$3:$L$56</definedName>
    <definedName name="Facilities">data!$F$48:$F$64</definedName>
    <definedName name="facility_categories">data!$B$48:$B$55</definedName>
    <definedName name="FF_Cash_budget">'Facility Funding'!$H$20</definedName>
    <definedName name="FFYears">data!$G$2:$J$2</definedName>
    <definedName name="Participoant_benefits">data!$B$84:$D$96</definedName>
    <definedName name="Project_cash_Budget" localSheetId="2">'Cash Contribution Calculator'!$D$5</definedName>
    <definedName name="Project_cash_Budget">Summary!$C$5</definedName>
    <definedName name="Project_Type">data!$B$80:$B$82</definedName>
    <definedName name="Total_parties" localSheetId="2">'Cash Contribution Calculator'!$H$8</definedName>
    <definedName name="Total_parties">Summary!$K$8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11" l="1"/>
  <c r="G19" i="11"/>
  <c r="F19" i="11"/>
  <c r="H19" i="11" s="1"/>
  <c r="L18" i="11"/>
  <c r="L17" i="11"/>
  <c r="L16" i="11"/>
  <c r="H8" i="11"/>
  <c r="I3" i="10"/>
  <c r="I39" i="9"/>
  <c r="K39" i="9" s="1"/>
  <c r="I41" i="9"/>
  <c r="K41" i="9" s="1"/>
  <c r="I49" i="9"/>
  <c r="K49" i="9" s="1"/>
  <c r="I40" i="9"/>
  <c r="K40" i="9" s="1"/>
  <c r="I32" i="9"/>
  <c r="K32" i="9" s="1"/>
  <c r="I33" i="9"/>
  <c r="K33" i="9" s="1"/>
  <c r="I36" i="9"/>
  <c r="K36" i="9" s="1"/>
  <c r="I31" i="9"/>
  <c r="K31" i="9" s="1"/>
  <c r="I43" i="9"/>
  <c r="K43" i="9" s="1"/>
  <c r="I27" i="9"/>
  <c r="K27" i="9" s="1"/>
  <c r="I42" i="9"/>
  <c r="K42" i="9" s="1"/>
  <c r="I35" i="9"/>
  <c r="K35" i="9" s="1"/>
  <c r="I30" i="9"/>
  <c r="K30" i="9" s="1"/>
  <c r="I50" i="9"/>
  <c r="K50" i="9" s="1"/>
  <c r="I55" i="9"/>
  <c r="K55" i="9" s="1"/>
  <c r="I56" i="9"/>
  <c r="K56" i="9" s="1"/>
  <c r="I37" i="9"/>
  <c r="K37" i="9" s="1"/>
  <c r="I44" i="9"/>
  <c r="K44" i="9" s="1"/>
  <c r="I53" i="9"/>
  <c r="K53" i="9" s="1"/>
  <c r="I45" i="9"/>
  <c r="K45" i="9" s="1"/>
  <c r="I38" i="9"/>
  <c r="K38" i="9" s="1"/>
  <c r="I46" i="9"/>
  <c r="K46" i="9" s="1"/>
  <c r="I29" i="9"/>
  <c r="K29" i="9" s="1"/>
  <c r="I26" i="9"/>
  <c r="K26" i="9" s="1"/>
  <c r="I34" i="9"/>
  <c r="K34" i="9" s="1"/>
  <c r="I48" i="9"/>
  <c r="K48" i="9" s="1"/>
  <c r="I52" i="9"/>
  <c r="K52" i="9" s="1"/>
  <c r="I54" i="9"/>
  <c r="I28" i="9"/>
  <c r="K28" i="9" s="1"/>
  <c r="I47" i="9"/>
  <c r="I51" i="9"/>
  <c r="K51" i="9" s="1"/>
  <c r="O1" i="9"/>
  <c r="I25" i="9"/>
  <c r="K25" i="9" s="1"/>
  <c r="I7" i="9"/>
  <c r="K7" i="9" s="1"/>
  <c r="I19" i="9"/>
  <c r="K19" i="9" s="1"/>
  <c r="I22" i="9"/>
  <c r="I13" i="9"/>
  <c r="I20" i="9"/>
  <c r="K20" i="9" s="1"/>
  <c r="I17" i="9"/>
  <c r="K17" i="9" s="1"/>
  <c r="I5" i="9"/>
  <c r="K5" i="9" s="1"/>
  <c r="I15" i="9"/>
  <c r="K15" i="9" s="1"/>
  <c r="I14" i="9"/>
  <c r="K14" i="9" s="1"/>
  <c r="I10" i="9"/>
  <c r="K10" i="9" s="1"/>
  <c r="I11" i="9"/>
  <c r="I4" i="9"/>
  <c r="K4" i="9" s="1"/>
  <c r="I6" i="9"/>
  <c r="K6" i="9" s="1"/>
  <c r="I8" i="9"/>
  <c r="K8" i="9" s="1"/>
  <c r="I12" i="9"/>
  <c r="K12" i="9" s="1"/>
  <c r="I16" i="9"/>
  <c r="K16" i="9" s="1"/>
  <c r="I21" i="9"/>
  <c r="K21" i="9" s="1"/>
  <c r="I23" i="9"/>
  <c r="K23" i="9" s="1"/>
  <c r="I18" i="9"/>
  <c r="K18" i="9" s="1"/>
  <c r="I9" i="9"/>
  <c r="K9" i="9" s="1"/>
  <c r="I24" i="9"/>
  <c r="K24" i="9" s="1"/>
  <c r="E2" i="9"/>
  <c r="F2" i="9"/>
  <c r="G2" i="9"/>
  <c r="D2" i="9"/>
  <c r="J12" i="9" s="1" a="1"/>
  <c r="J12" i="9" s="1"/>
  <c r="K7" i="7"/>
  <c r="K8" i="7" s="1"/>
  <c r="I17" i="7" s="1"/>
  <c r="G22" i="7"/>
  <c r="E19" i="7"/>
  <c r="F19" i="7"/>
  <c r="K16" i="7"/>
  <c r="K17" i="7"/>
  <c r="K18" i="7"/>
  <c r="K15" i="7"/>
  <c r="J18" i="11" l="1"/>
  <c r="M18" i="11" s="1"/>
  <c r="J15" i="11"/>
  <c r="J17" i="11"/>
  <c r="M17" i="11" s="1"/>
  <c r="J16" i="11"/>
  <c r="M16" i="11" s="1"/>
  <c r="N1" i="9"/>
  <c r="J33" i="9" a="1"/>
  <c r="J33" i="9" s="1"/>
  <c r="J44" i="9" a="1"/>
  <c r="J44" i="9" s="1"/>
  <c r="J34" i="9" a="1"/>
  <c r="J34" i="9" s="1"/>
  <c r="J29" i="9" a="1"/>
  <c r="J29" i="9" s="1"/>
  <c r="J55" i="9" a="1"/>
  <c r="J55" i="9" s="1"/>
  <c r="J26" i="9" a="1"/>
  <c r="J26" i="9" s="1"/>
  <c r="J38" i="9" a="1"/>
  <c r="J38" i="9" s="1"/>
  <c r="J30" i="9" a="1"/>
  <c r="J30" i="9" s="1"/>
  <c r="J32" i="9" a="1"/>
  <c r="J32" i="9" s="1"/>
  <c r="J31" i="9" a="1"/>
  <c r="J31" i="9" s="1"/>
  <c r="J41" i="9" a="1"/>
  <c r="J41" i="9" s="1"/>
  <c r="J56" i="9" a="1"/>
  <c r="J56" i="9" s="1"/>
  <c r="J27" i="9" a="1"/>
  <c r="J27" i="9" s="1"/>
  <c r="J36" i="9" a="1"/>
  <c r="J36" i="9" s="1"/>
  <c r="J53" i="9" a="1"/>
  <c r="J53" i="9" s="1"/>
  <c r="J43" i="9" a="1"/>
  <c r="J43" i="9" s="1"/>
  <c r="J49" i="9" a="1"/>
  <c r="J49" i="9" s="1"/>
  <c r="J46" i="9" a="1"/>
  <c r="J46" i="9" s="1"/>
  <c r="J50" i="9" a="1"/>
  <c r="J50" i="9" s="1"/>
  <c r="J51" i="9" a="1"/>
  <c r="J51" i="9" s="1"/>
  <c r="J37" i="9" a="1"/>
  <c r="J37" i="9" s="1"/>
  <c r="J42" i="9" a="1"/>
  <c r="J42" i="9" s="1"/>
  <c r="J39" i="9" a="1"/>
  <c r="J39" i="9" s="1"/>
  <c r="J45" i="9" a="1"/>
  <c r="J45" i="9" s="1"/>
  <c r="J35" i="9" a="1"/>
  <c r="J35" i="9" s="1"/>
  <c r="J40" i="9" a="1"/>
  <c r="J40" i="9" s="1"/>
  <c r="J48" i="9" a="1"/>
  <c r="J48" i="9" s="1"/>
  <c r="J28" i="9" a="1"/>
  <c r="J28" i="9" s="1"/>
  <c r="J52" i="9" a="1"/>
  <c r="J52" i="9" s="1"/>
  <c r="J54" i="9" a="1"/>
  <c r="J54" i="9" s="1"/>
  <c r="J47" i="9" a="1"/>
  <c r="J47" i="9" s="1"/>
  <c r="K47" i="9"/>
  <c r="K54" i="9"/>
  <c r="J17" i="9" a="1"/>
  <c r="J17" i="9" s="1"/>
  <c r="J11" i="9" a="1"/>
  <c r="J11" i="9" s="1"/>
  <c r="J20" i="9" a="1"/>
  <c r="J20" i="9" s="1"/>
  <c r="J14" i="9" a="1"/>
  <c r="J14" i="9" s="1"/>
  <c r="J25" i="9" a="1"/>
  <c r="J25" i="9" s="1"/>
  <c r="J15" i="9" a="1"/>
  <c r="J15" i="9" s="1"/>
  <c r="J13" i="9" a="1"/>
  <c r="J13" i="9" s="1"/>
  <c r="J5" i="9" a="1"/>
  <c r="J5" i="9" s="1"/>
  <c r="J22" i="9" a="1"/>
  <c r="J22" i="9" s="1"/>
  <c r="J19" i="9" a="1"/>
  <c r="J19" i="9" s="1"/>
  <c r="K13" i="9"/>
  <c r="K22" i="9"/>
  <c r="J10" i="9" a="1"/>
  <c r="J10" i="9" s="1"/>
  <c r="J7" i="9" a="1"/>
  <c r="J7" i="9" s="1"/>
  <c r="K11" i="9"/>
  <c r="J6" i="9" a="1"/>
  <c r="J6" i="9" s="1"/>
  <c r="J4" i="9" a="1"/>
  <c r="J4" i="9" s="1"/>
  <c r="J21" i="9" a="1"/>
  <c r="J21" i="9" s="1"/>
  <c r="J9" i="9" a="1"/>
  <c r="J9" i="9" s="1"/>
  <c r="J8" i="9" a="1"/>
  <c r="J8" i="9" s="1"/>
  <c r="J23" i="9" a="1"/>
  <c r="J23" i="9" s="1"/>
  <c r="J24" i="9" a="1"/>
  <c r="J24" i="9" s="1"/>
  <c r="J16" i="9" a="1"/>
  <c r="J16" i="9" s="1"/>
  <c r="J18" i="9" a="1"/>
  <c r="J18" i="9" s="1"/>
  <c r="L17" i="7"/>
  <c r="E17" i="7" s="1"/>
  <c r="G19" i="7"/>
  <c r="I15" i="7"/>
  <c r="I18" i="7"/>
  <c r="I16" i="7"/>
  <c r="F5" i="6"/>
  <c r="G5" i="6" s="1"/>
  <c r="H5" i="6"/>
  <c r="F6" i="6"/>
  <c r="G6" i="6" s="1"/>
  <c r="H6" i="6"/>
  <c r="F7" i="6"/>
  <c r="G7" i="6" s="1"/>
  <c r="H7" i="6"/>
  <c r="F8" i="6"/>
  <c r="G8" i="6" s="1"/>
  <c r="H8" i="6"/>
  <c r="F9" i="6"/>
  <c r="G9" i="6" s="1"/>
  <c r="H9" i="6"/>
  <c r="F10" i="6"/>
  <c r="G10" i="6" s="1"/>
  <c r="H10" i="6"/>
  <c r="F11" i="6"/>
  <c r="G11" i="6" s="1"/>
  <c r="H11" i="6"/>
  <c r="F12" i="6"/>
  <c r="G12" i="6" s="1"/>
  <c r="H12" i="6"/>
  <c r="F13" i="6"/>
  <c r="G13" i="6" s="1"/>
  <c r="H13" i="6"/>
  <c r="F14" i="6"/>
  <c r="G14" i="6" s="1"/>
  <c r="H14" i="6"/>
  <c r="F15" i="6"/>
  <c r="G15" i="6" s="1"/>
  <c r="H15" i="6"/>
  <c r="F16" i="6"/>
  <c r="G16" i="6" s="1"/>
  <c r="H16" i="6"/>
  <c r="F17" i="6"/>
  <c r="G17" i="6" s="1"/>
  <c r="H17" i="6"/>
  <c r="F18" i="6"/>
  <c r="G18" i="6" s="1"/>
  <c r="H18" i="6"/>
  <c r="F37" i="4"/>
  <c r="F35" i="4"/>
  <c r="F33" i="4"/>
  <c r="F31" i="4"/>
  <c r="F29" i="4"/>
  <c r="F27" i="4"/>
  <c r="F25" i="4"/>
  <c r="AA37" i="4"/>
  <c r="AA35" i="4"/>
  <c r="AA33" i="4"/>
  <c r="AA31" i="4"/>
  <c r="AA29" i="4"/>
  <c r="AA27" i="4"/>
  <c r="AA25" i="4"/>
  <c r="AB25" i="4" s="1"/>
  <c r="AA23" i="4"/>
  <c r="AA21" i="4"/>
  <c r="AB21" i="4" s="1"/>
  <c r="AA19" i="4"/>
  <c r="AA17" i="4"/>
  <c r="AA15" i="4"/>
  <c r="AA13" i="4"/>
  <c r="AA11" i="4"/>
  <c r="AA9" i="4"/>
  <c r="AA7" i="4"/>
  <c r="AB7" i="4" s="1"/>
  <c r="AA5" i="4"/>
  <c r="AB5" i="4" s="1"/>
  <c r="F11" i="4"/>
  <c r="F13" i="4"/>
  <c r="F7" i="4"/>
  <c r="F5" i="4"/>
  <c r="F9" i="4"/>
  <c r="F19" i="4"/>
  <c r="G19" i="4" s="1"/>
  <c r="H19" i="4" s="1"/>
  <c r="I19" i="4" s="1"/>
  <c r="J19" i="4" s="1"/>
  <c r="F15" i="4"/>
  <c r="F17" i="4"/>
  <c r="F23" i="4"/>
  <c r="F21" i="4"/>
  <c r="G18" i="4"/>
  <c r="H18" i="4" s="1"/>
  <c r="I18" i="4" s="1"/>
  <c r="J18" i="4" s="1"/>
  <c r="F17" i="11" l="1"/>
  <c r="M15" i="11"/>
  <c r="J21" i="11"/>
  <c r="F18" i="11"/>
  <c r="F16" i="11"/>
  <c r="L22" i="9"/>
  <c r="L13" i="9"/>
  <c r="L34" i="9"/>
  <c r="L4" i="9"/>
  <c r="L11" i="9"/>
  <c r="L54" i="9"/>
  <c r="L39" i="9"/>
  <c r="L24" i="9"/>
  <c r="L7" i="9"/>
  <c r="L20" i="9"/>
  <c r="L40" i="9"/>
  <c r="L16" i="9"/>
  <c r="L25" i="9"/>
  <c r="L51" i="9"/>
  <c r="L37" i="9"/>
  <c r="L17" i="9"/>
  <c r="L18" i="9"/>
  <c r="L42" i="9"/>
  <c r="L47" i="9"/>
  <c r="L50" i="9"/>
  <c r="L46" i="9"/>
  <c r="L32" i="9"/>
  <c r="L14" i="9"/>
  <c r="L8" i="9"/>
  <c r="L31" i="9"/>
  <c r="L55" i="9"/>
  <c r="L19" i="9"/>
  <c r="L41" i="9"/>
  <c r="L38" i="9"/>
  <c r="L44" i="9"/>
  <c r="L29" i="9"/>
  <c r="L28" i="9"/>
  <c r="L5" i="9"/>
  <c r="L23" i="9"/>
  <c r="L33" i="9"/>
  <c r="L52" i="9"/>
  <c r="L48" i="9"/>
  <c r="L12" i="9"/>
  <c r="L49" i="9"/>
  <c r="L36" i="9"/>
  <c r="L6" i="9"/>
  <c r="L21" i="9"/>
  <c r="L10" i="9"/>
  <c r="L27" i="9"/>
  <c r="L53" i="9"/>
  <c r="L56" i="9"/>
  <c r="L35" i="9"/>
  <c r="L30" i="9"/>
  <c r="L43" i="9"/>
  <c r="L26" i="9"/>
  <c r="L45" i="9"/>
  <c r="L15" i="9"/>
  <c r="L9" i="9"/>
  <c r="L16" i="7"/>
  <c r="E16" i="7" s="1"/>
  <c r="L18" i="7"/>
  <c r="E18" i="7" s="1"/>
  <c r="L15" i="7"/>
  <c r="I21" i="7"/>
  <c r="AB17" i="4"/>
  <c r="AB19" i="4"/>
  <c r="AB23" i="4"/>
  <c r="AB9" i="4"/>
  <c r="AB11" i="4"/>
  <c r="AB13" i="4"/>
  <c r="AB15" i="4"/>
  <c r="AB37" i="4"/>
  <c r="AB35" i="4"/>
  <c r="AB33" i="4"/>
  <c r="AB31" i="4"/>
  <c r="AB29" i="4"/>
  <c r="AB27" i="4"/>
  <c r="D20" i="6"/>
  <c r="F15" i="11" l="1"/>
  <c r="M21" i="11"/>
  <c r="E15" i="7"/>
  <c r="E21" i="7" s="1"/>
  <c r="L21" i="7"/>
  <c r="G16" i="4"/>
  <c r="H16" i="4" s="1"/>
  <c r="I16" i="4" s="1"/>
  <c r="J16" i="4" s="1"/>
  <c r="G17" i="4"/>
  <c r="H17" i="4" s="1"/>
  <c r="I17" i="4" s="1"/>
  <c r="J17" i="4" s="1"/>
  <c r="G34" i="4"/>
  <c r="H34" i="4" s="1"/>
  <c r="I34" i="4" s="1"/>
  <c r="J34" i="4" s="1"/>
  <c r="G35" i="4"/>
  <c r="H35" i="4" s="1"/>
  <c r="I35" i="4" s="1"/>
  <c r="J35" i="4" s="1"/>
  <c r="G32" i="4"/>
  <c r="H32" i="4" s="1"/>
  <c r="I32" i="4" s="1"/>
  <c r="J32" i="4" s="1"/>
  <c r="G33" i="4"/>
  <c r="H33" i="4" s="1"/>
  <c r="I33" i="4" s="1"/>
  <c r="J33" i="4" s="1"/>
  <c r="G14" i="4"/>
  <c r="H14" i="4" s="1"/>
  <c r="I14" i="4" s="1"/>
  <c r="J14" i="4" s="1"/>
  <c r="G15" i="4"/>
  <c r="H15" i="4" s="1"/>
  <c r="I15" i="4" s="1"/>
  <c r="J15" i="4" s="1"/>
  <c r="G36" i="4"/>
  <c r="H36" i="4" s="1"/>
  <c r="I36" i="4" s="1"/>
  <c r="J36" i="4" s="1"/>
  <c r="G37" i="4"/>
  <c r="H37" i="4" s="1"/>
  <c r="I37" i="4" s="1"/>
  <c r="J37" i="4" s="1"/>
  <c r="H8" i="4"/>
  <c r="I8" i="4" s="1"/>
  <c r="J8" i="4" s="1"/>
  <c r="G9" i="4"/>
  <c r="H9" i="4" s="1"/>
  <c r="I9" i="4" s="1"/>
  <c r="J9" i="4" s="1"/>
  <c r="G22" i="4"/>
  <c r="H22" i="4" s="1"/>
  <c r="I22" i="4" s="1"/>
  <c r="J22" i="4" s="1"/>
  <c r="G23" i="4"/>
  <c r="H23" i="4" s="1"/>
  <c r="I23" i="4" s="1"/>
  <c r="J23" i="4" s="1"/>
  <c r="G26" i="4"/>
  <c r="H26" i="4" s="1"/>
  <c r="I26" i="4" s="1"/>
  <c r="J26" i="4" s="1"/>
  <c r="G27" i="4"/>
  <c r="H27" i="4" s="1"/>
  <c r="I27" i="4" s="1"/>
  <c r="J27" i="4" s="1"/>
  <c r="G28" i="4"/>
  <c r="H28" i="4" s="1"/>
  <c r="I28" i="4" s="1"/>
  <c r="J28" i="4" s="1"/>
  <c r="G29" i="4"/>
  <c r="H29" i="4" s="1"/>
  <c r="I29" i="4" s="1"/>
  <c r="J29" i="4" s="1"/>
  <c r="G4" i="4"/>
  <c r="H4" i="4" s="1"/>
  <c r="I4" i="4" s="1"/>
  <c r="J4" i="4" s="1"/>
  <c r="G5" i="4"/>
  <c r="H5" i="4" s="1"/>
  <c r="I5" i="4" s="1"/>
  <c r="J5" i="4" s="1"/>
  <c r="G6" i="4"/>
  <c r="H6" i="4" s="1"/>
  <c r="G7" i="4"/>
  <c r="H7" i="4" s="1"/>
  <c r="I7" i="4" s="1"/>
  <c r="J7" i="4" s="1"/>
  <c r="G20" i="4"/>
  <c r="H20" i="4" s="1"/>
  <c r="I20" i="4" s="1"/>
  <c r="J20" i="4" s="1"/>
  <c r="G21" i="4"/>
  <c r="H21" i="4" s="1"/>
  <c r="I21" i="4" s="1"/>
  <c r="J21" i="4" s="1"/>
  <c r="G24" i="4"/>
  <c r="H24" i="4" s="1"/>
  <c r="I24" i="4" s="1"/>
  <c r="J24" i="4" s="1"/>
  <c r="G25" i="4"/>
  <c r="H25" i="4" s="1"/>
  <c r="I25" i="4" s="1"/>
  <c r="J25" i="4" s="1"/>
  <c r="G12" i="4"/>
  <c r="H12" i="4" s="1"/>
  <c r="I12" i="4" s="1"/>
  <c r="J12" i="4" s="1"/>
  <c r="G13" i="4"/>
  <c r="H13" i="4" s="1"/>
  <c r="I13" i="4" s="1"/>
  <c r="J13" i="4" s="1"/>
  <c r="G30" i="4"/>
  <c r="H30" i="4" s="1"/>
  <c r="I30" i="4" s="1"/>
  <c r="J30" i="4" s="1"/>
  <c r="G31" i="4"/>
  <c r="H31" i="4" s="1"/>
  <c r="I31" i="4" s="1"/>
  <c r="J31" i="4" s="1"/>
  <c r="H10" i="4"/>
  <c r="I10" i="4" s="1"/>
  <c r="J10" i="4" s="1"/>
  <c r="G11" i="4"/>
  <c r="H11" i="4" s="1"/>
  <c r="I11" i="4" s="1"/>
  <c r="J11" i="4" s="1"/>
  <c r="F63" i="4"/>
  <c r="F51" i="4"/>
  <c r="F21" i="11" l="1"/>
  <c r="I6" i="4"/>
  <c r="J6" i="4" s="1"/>
  <c r="H4" i="6"/>
  <c r="H20" i="6" s="1"/>
  <c r="F4" i="6"/>
  <c r="F56" i="4"/>
  <c r="F57" i="4"/>
  <c r="F58" i="4"/>
  <c r="F59" i="4"/>
  <c r="F60" i="4"/>
  <c r="F61" i="4"/>
  <c r="F62" i="4"/>
  <c r="F64" i="4"/>
  <c r="F53" i="4"/>
  <c r="F55" i="4"/>
  <c r="F50" i="4"/>
  <c r="F48" i="4"/>
  <c r="F49" i="4"/>
  <c r="F52" i="4"/>
  <c r="F54" i="4"/>
  <c r="K18" i="11" l="1"/>
  <c r="N18" i="11" s="1"/>
  <c r="K15" i="11"/>
  <c r="D6" i="11"/>
  <c r="K16" i="11"/>
  <c r="N16" i="11" s="1"/>
  <c r="K17" i="11"/>
  <c r="N17" i="11" s="1"/>
  <c r="J16" i="7"/>
  <c r="M16" i="7" s="1"/>
  <c r="J18" i="7"/>
  <c r="M18" i="7" s="1"/>
  <c r="J17" i="7"/>
  <c r="M17" i="7" s="1"/>
  <c r="J15" i="7"/>
  <c r="M15" i="7" s="1"/>
  <c r="C6" i="7"/>
  <c r="G4" i="6"/>
  <c r="G20" i="6" s="1"/>
  <c r="F20" i="6"/>
  <c r="K21" i="11" l="1"/>
  <c r="N15" i="11"/>
  <c r="G17" i="11"/>
  <c r="H17" i="11" s="1"/>
  <c r="O17" i="11"/>
  <c r="G18" i="11"/>
  <c r="H18" i="11" s="1"/>
  <c r="O18" i="11"/>
  <c r="G16" i="11"/>
  <c r="H16" i="11" s="1"/>
  <c r="O16" i="11"/>
  <c r="M21" i="7"/>
  <c r="F16" i="7"/>
  <c r="G16" i="7" s="1"/>
  <c r="N16" i="7"/>
  <c r="F17" i="7"/>
  <c r="G17" i="7" s="1"/>
  <c r="N17" i="7"/>
  <c r="F18" i="7"/>
  <c r="G18" i="7" s="1"/>
  <c r="N18" i="7"/>
  <c r="J21" i="7"/>
  <c r="O15" i="11" l="1"/>
  <c r="O21" i="11" s="1"/>
  <c r="L21" i="11" s="1"/>
  <c r="G15" i="11"/>
  <c r="N21" i="11"/>
  <c r="F15" i="7"/>
  <c r="N15" i="7"/>
  <c r="N21" i="7" s="1"/>
  <c r="K21" i="7" s="1"/>
  <c r="G21" i="11" l="1"/>
  <c r="H15" i="11"/>
  <c r="H21" i="11" s="1"/>
  <c r="F21" i="7"/>
  <c r="G15" i="7"/>
  <c r="G21" i="7" s="1"/>
  <c r="G23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<sst xmlns="http://schemas.openxmlformats.org/spreadsheetml/2006/main" count="278" uniqueCount="115">
  <si>
    <t>Totals</t>
  </si>
  <si>
    <t>Financial Year</t>
  </si>
  <si>
    <t>Number of base experiments</t>
  </si>
  <si>
    <t>BF_Cash_FTE_value</t>
  </si>
  <si>
    <t>Rivalea</t>
  </si>
  <si>
    <t>Roseworthy</t>
  </si>
  <si>
    <t>Facility</t>
  </si>
  <si>
    <t>Budget Type</t>
  </si>
  <si>
    <t>Location / Facility type</t>
  </si>
  <si>
    <t>Cash Cost $</t>
  </si>
  <si>
    <t>Total</t>
  </si>
  <si>
    <t>BF Inkind</t>
  </si>
  <si>
    <t>BF Cash</t>
  </si>
  <si>
    <t>Location</t>
  </si>
  <si>
    <t>PROPOSED FACILITY FUNDING USAGE</t>
  </si>
  <si>
    <t>2022/23</t>
  </si>
  <si>
    <t>2025/26</t>
  </si>
  <si>
    <t>1. Loose Farrowing and Lactation Studies - SWAP / Pig Safe / Group Lactation</t>
  </si>
  <si>
    <t>2. Commercial Lactation Studies</t>
  </si>
  <si>
    <t>3. Commercial gestating sow studies - Group pen or ESF</t>
  </si>
  <si>
    <t>4. Weaner Discovery Facility - R&amp;I specialized facility</t>
  </si>
  <si>
    <t>5. Weaner Studies - Commercial pens</t>
  </si>
  <si>
    <t>6. Grower Finisher: Individual - R&amp;I specialized facility</t>
  </si>
  <si>
    <t>7. Grower Finisher: Commercial or Big Dutchman - Nutritional evaluations</t>
  </si>
  <si>
    <t>8. Meat Science and Quality</t>
  </si>
  <si>
    <t>2026/27</t>
  </si>
  <si>
    <t>SunPork</t>
  </si>
  <si>
    <t>1. Sow Model - Lactating studies, Farrowing house</t>
  </si>
  <si>
    <t>4. Weaner Model - Group</t>
  </si>
  <si>
    <t>5. Grower Finisher Model - Group Pen, Westbrook</t>
  </si>
  <si>
    <t>6. Grower Finisher Model - Group Pen, Brinkley</t>
  </si>
  <si>
    <t>7. Meat carcase and quality assessment</t>
  </si>
  <si>
    <t>2. Sow model - Group pen gestating</t>
  </si>
  <si>
    <t>2. Sow Model - Free movement farrowing crates</t>
  </si>
  <si>
    <t>3. Sow Model - Group pen gestating, ESF</t>
  </si>
  <si>
    <t>Cat1</t>
  </si>
  <si>
    <t>Cat2</t>
  </si>
  <si>
    <t>Cat3</t>
  </si>
  <si>
    <t>Cat4</t>
  </si>
  <si>
    <t>Other</t>
  </si>
  <si>
    <t>Check</t>
  </si>
  <si>
    <t>FTE_value</t>
  </si>
  <si>
    <t>RE [FTE] / expt</t>
  </si>
  <si>
    <t>Total RE [FTE]</t>
  </si>
  <si>
    <t>Project Type</t>
  </si>
  <si>
    <t>Innovation</t>
  </si>
  <si>
    <t>Product Development</t>
  </si>
  <si>
    <t>Commercialisation</t>
  </si>
  <si>
    <t>Project Cash</t>
  </si>
  <si>
    <t>Facility Funding</t>
  </si>
  <si>
    <t>Gold</t>
  </si>
  <si>
    <t>Silver</t>
  </si>
  <si>
    <t>Bronze</t>
  </si>
  <si>
    <t>Non-Participant</t>
  </si>
  <si>
    <t>Subcontractor</t>
  </si>
  <si>
    <t>Project Details</t>
  </si>
  <si>
    <t>Total Project Cash Budget</t>
  </si>
  <si>
    <t>Facility Funding Cash Budget</t>
  </si>
  <si>
    <t>Enter total Project cash Cost</t>
  </si>
  <si>
    <t>Complete Facility Funding tab</t>
  </si>
  <si>
    <t>Participants</t>
  </si>
  <si>
    <t>Select from list</t>
  </si>
  <si>
    <t>Number</t>
  </si>
  <si>
    <t>Total project parties</t>
  </si>
  <si>
    <t>Cash Project Contribution required from Project Parties</t>
  </si>
  <si>
    <t xml:space="preserve">Total Cash Project Contribution required from Project Parties </t>
  </si>
  <si>
    <t>Project</t>
  </si>
  <si>
    <t>Facilities</t>
  </si>
  <si>
    <t>Calculation</t>
  </si>
  <si>
    <t>Project Allocation</t>
  </si>
  <si>
    <t>Project Budget %</t>
  </si>
  <si>
    <t>Project Cash contribution</t>
  </si>
  <si>
    <t>Facility cash Contribution</t>
  </si>
  <si>
    <t>[A]</t>
  </si>
  <si>
    <t>[B]</t>
  </si>
  <si>
    <t>[C]</t>
  </si>
  <si>
    <t>Enter number of each type of project party in the green boxes</t>
  </si>
  <si>
    <t>Non-Participant Product Development</t>
  </si>
  <si>
    <t>Gold Product Development</t>
  </si>
  <si>
    <t>Silver Product Development</t>
  </si>
  <si>
    <t>Bronze Product Development</t>
  </si>
  <si>
    <t>Gold Commercialisation</t>
  </si>
  <si>
    <t>Silver Commercialisation</t>
  </si>
  <si>
    <t>Bronze Commercialisation</t>
  </si>
  <si>
    <t>Non-Participant Commercialisation</t>
  </si>
  <si>
    <t xml:space="preserve">Current Cash Project Contribution required from Project Parties </t>
  </si>
  <si>
    <t>Current</t>
  </si>
  <si>
    <t>Saving / (Additional cost)</t>
  </si>
  <si>
    <t xml:space="preserve"> Facility Allocation</t>
  </si>
  <si>
    <t>Total Cash Contribution</t>
  </si>
  <si>
    <t>[D]= [AxC]</t>
  </si>
  <si>
    <t>[E]= [BxC]</t>
  </si>
  <si>
    <t>[D] + [E]</t>
  </si>
  <si>
    <t>Cont'n %</t>
  </si>
  <si>
    <t>Type</t>
  </si>
  <si>
    <t>n+r-1 !</t>
  </si>
  <si>
    <t>(n-1)</t>
  </si>
  <si>
    <t>n=4</t>
  </si>
  <si>
    <t>r=3</t>
  </si>
  <si>
    <t xml:space="preserve"> Project Details</t>
  </si>
  <si>
    <t>Select the Project Type from the drop down list</t>
  </si>
  <si>
    <t>Enter the Total Project Cash Cost</t>
  </si>
  <si>
    <t xml:space="preserve">The total cash contribution by each party includes the project and the facility funding cash costs.     </t>
  </si>
  <si>
    <t xml:space="preserve">The table provides a break down of the total cash contributions required by each of the project parties relative to their Participant level.     </t>
  </si>
  <si>
    <t>Notes:</t>
  </si>
  <si>
    <t xml:space="preserve">If there are two or more organisations at the same tier of participation, the cash project contributions are apportioned equally. </t>
  </si>
  <si>
    <t>2027/28</t>
  </si>
  <si>
    <t>TP_IPP_Inn_Project</t>
  </si>
  <si>
    <t>Silver TP_IPP_Inn_Project</t>
  </si>
  <si>
    <t>Bronze TP_IPP_Inn_Project</t>
  </si>
  <si>
    <t>Non-Participant TP_IPP_Inn_Project</t>
  </si>
  <si>
    <t>Gold TP_IPP_Inn_Project</t>
  </si>
  <si>
    <t xml:space="preserve">*Project Type: </t>
  </si>
  <si>
    <t>TP_IPP_Inn_Project = Transformational or Industry Priority or Innovation Project</t>
  </si>
  <si>
    <t>2028/29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</si>
</sst>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[$-C09]dd\-mmmm\-yyyy;@"/>
    <numFmt numFmtId="166" formatCode="0.000"/>
    <numFmt numFmtId="167" formatCode="_-* #,##0_-;\-* #,##0_-;_-* &quot;-&quot;??_-;_-@_-"/>
    <numFmt numFmtId="168" formatCode="_-* #,##0.0_-;\-* #,##0.0_-;_-* &quot;-&quot;??_-;_-@_-"/>
    <numFmt numFmtId="169" formatCode="_-* &quot;$&quot;#,##0_-;\-* #,##0_-;_-* &quot;-&quot;??_-;_-@_-"/>
    <numFmt numFmtId="170" formatCode="_-&quot;$&quot;* #,##0_-;\-&quot;$&quot;* #,##0_-;_-&quot;$&quot;* &quot;-&quot;??_-;_-@_-"/>
    <numFmt numFmtId="171" formatCode="_-&quot;$&quot;#,##0\ _-;[Red]\-\(&quot;$&quot;#,##0\)_-;_-* &quot;-&quot;??_-;_-@_-"/>
    <numFmt numFmtId="172" formatCode="_-&quot;$&quot;#,##0\ _-;[Red]\(&quot;$&quot;#,##0\)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rgb="FF90B6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 style="medium">
        <color theme="6" tint="-0.24994659260841701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1" borderId="0" applyNumberFormat="0" applyBorder="0" applyAlignment="0" applyProtection="0"/>
  </cellStyleXfs>
  <cellXfs count="130">
    <xf numFmtId="0" fontId="0" fillId="0" borderId="0" xfId="0"/>
    <xf numFmtId="0" fontId="4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left"/>
    </xf>
    <xf numFmtId="166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67" fontId="5" fillId="0" borderId="4" xfId="2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0" fillId="4" borderId="1" xfId="1" applyNumberFormat="1" applyFont="1" applyFill="1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43" fontId="0" fillId="0" borderId="4" xfId="2" applyFont="1" applyBorder="1"/>
    <xf numFmtId="2" fontId="0" fillId="0" borderId="4" xfId="2" applyNumberFormat="1" applyFont="1" applyBorder="1"/>
    <xf numFmtId="2" fontId="5" fillId="0" borderId="4" xfId="2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168" fontId="2" fillId="2" borderId="0" xfId="0" applyNumberFormat="1" applyFont="1" applyFill="1" applyAlignment="1">
      <alignment horizontal="left" vertical="center"/>
    </xf>
    <xf numFmtId="169" fontId="2" fillId="2" borderId="0" xfId="0" applyNumberFormat="1" applyFont="1" applyFill="1" applyAlignment="1">
      <alignment horizontal="left" vertical="center"/>
    </xf>
    <xf numFmtId="0" fontId="8" fillId="0" borderId="0" xfId="0" applyFont="1"/>
    <xf numFmtId="43" fontId="8" fillId="0" borderId="4" xfId="2" applyFont="1" applyBorder="1"/>
    <xf numFmtId="164" fontId="8" fillId="0" borderId="4" xfId="0" applyNumberFormat="1" applyFont="1" applyBorder="1"/>
    <xf numFmtId="2" fontId="8" fillId="0" borderId="4" xfId="2" applyNumberFormat="1" applyFont="1" applyBorder="1"/>
    <xf numFmtId="2" fontId="4" fillId="0" borderId="4" xfId="2" applyNumberFormat="1" applyFont="1" applyFill="1" applyBorder="1" applyAlignment="1">
      <alignment horizontal="right"/>
    </xf>
    <xf numFmtId="170" fontId="0" fillId="0" borderId="0" xfId="1" applyNumberFormat="1" applyFont="1" applyAlignment="1">
      <alignment horizontal="center" vertical="center"/>
    </xf>
    <xf numFmtId="170" fontId="0" fillId="0" borderId="0" xfId="0" applyNumberFormat="1"/>
    <xf numFmtId="9" fontId="0" fillId="4" borderId="1" xfId="3" applyFont="1" applyFill="1" applyBorder="1" applyAlignment="1">
      <alignment horizontal="center" vertical="center"/>
    </xf>
    <xf numFmtId="9" fontId="0" fillId="0" borderId="0" xfId="3" applyFont="1"/>
    <xf numFmtId="9" fontId="2" fillId="2" borderId="0" xfId="3" applyFont="1" applyFill="1" applyAlignment="1">
      <alignment horizontal="center" vertical="center"/>
    </xf>
    <xf numFmtId="44" fontId="0" fillId="0" borderId="0" xfId="0" applyNumberFormat="1"/>
    <xf numFmtId="43" fontId="7" fillId="0" borderId="4" xfId="2" applyFont="1" applyBorder="1"/>
    <xf numFmtId="0" fontId="2" fillId="6" borderId="0" xfId="0" applyFont="1" applyFill="1"/>
    <xf numFmtId="9" fontId="0" fillId="0" borderId="0" xfId="3" applyFont="1" applyAlignment="1">
      <alignment horizontal="center" vertical="center"/>
    </xf>
    <xf numFmtId="0" fontId="0" fillId="6" borderId="0" xfId="0" applyFill="1"/>
    <xf numFmtId="0" fontId="0" fillId="8" borderId="8" xfId="0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171" fontId="0" fillId="0" borderId="0" xfId="0" applyNumberFormat="1" applyAlignment="1">
      <alignment horizontal="center" vertical="center"/>
    </xf>
    <xf numFmtId="171" fontId="0" fillId="0" borderId="0" xfId="0" applyNumberFormat="1"/>
    <xf numFmtId="171" fontId="0" fillId="0" borderId="8" xfId="0" applyNumberForma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171" fontId="0" fillId="0" borderId="10" xfId="0" applyNumberFormat="1" applyBorder="1" applyAlignment="1">
      <alignment horizontal="center" vertical="center"/>
    </xf>
    <xf numFmtId="171" fontId="0" fillId="0" borderId="11" xfId="0" applyNumberFormat="1" applyBorder="1" applyAlignment="1">
      <alignment horizontal="center" vertical="center"/>
    </xf>
    <xf numFmtId="171" fontId="0" fillId="0" borderId="13" xfId="0" applyNumberForma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171" fontId="0" fillId="0" borderId="15" xfId="0" applyNumberFormat="1" applyBorder="1" applyAlignment="1">
      <alignment horizontal="center" vertical="center"/>
    </xf>
    <xf numFmtId="171" fontId="0" fillId="0" borderId="16" xfId="0" applyNumberFormat="1" applyBorder="1" applyAlignment="1">
      <alignment horizontal="center" vertical="center"/>
    </xf>
    <xf numFmtId="0" fontId="8" fillId="0" borderId="17" xfId="0" applyFont="1" applyBorder="1"/>
    <xf numFmtId="171" fontId="11" fillId="10" borderId="8" xfId="0" applyNumberFormat="1" applyFont="1" applyFill="1" applyBorder="1" applyAlignment="1">
      <alignment horizontal="center" vertical="center"/>
    </xf>
    <xf numFmtId="0" fontId="8" fillId="0" borderId="18" xfId="0" applyFont="1" applyBorder="1"/>
    <xf numFmtId="0" fontId="8" fillId="0" borderId="19" xfId="0" applyFont="1" applyBorder="1"/>
    <xf numFmtId="0" fontId="8" fillId="0" borderId="12" xfId="0" applyFont="1" applyBorder="1"/>
    <xf numFmtId="0" fontId="10" fillId="0" borderId="9" xfId="0" applyFont="1" applyBorder="1"/>
    <xf numFmtId="172" fontId="0" fillId="0" borderId="8" xfId="0" applyNumberFormat="1" applyBorder="1" applyAlignment="1">
      <alignment horizontal="center" vertical="center"/>
    </xf>
    <xf numFmtId="9" fontId="0" fillId="0" borderId="0" xfId="3" applyFont="1" applyFill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171" fontId="0" fillId="0" borderId="22" xfId="0" applyNumberFormat="1" applyBorder="1" applyAlignment="1">
      <alignment horizontal="center" vertical="center"/>
    </xf>
    <xf numFmtId="171" fontId="0" fillId="7" borderId="23" xfId="0" applyNumberFormat="1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14" borderId="0" xfId="0" applyFill="1"/>
    <xf numFmtId="0" fontId="14" fillId="14" borderId="0" xfId="0" applyFont="1" applyFill="1"/>
    <xf numFmtId="0" fontId="16" fillId="14" borderId="0" xfId="0" applyFont="1" applyFill="1"/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0" fillId="14" borderId="0" xfId="0" applyFill="1" applyAlignment="1">
      <alignment horizontal="left" vertical="top" wrapText="1" indent="3"/>
    </xf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5" borderId="0" xfId="0" applyFill="1" applyProtection="1"/>
    <xf numFmtId="0" fontId="2" fillId="6" borderId="28" xfId="0" applyFont="1" applyFill="1" applyBorder="1" applyProtection="1"/>
    <xf numFmtId="0" fontId="0" fillId="6" borderId="28" xfId="0" applyFill="1" applyBorder="1" applyProtection="1"/>
    <xf numFmtId="0" fontId="0" fillId="6" borderId="29" xfId="0" applyFill="1" applyBorder="1" applyProtection="1"/>
    <xf numFmtId="0" fontId="2" fillId="6" borderId="0" xfId="0" applyFont="1" applyFill="1" applyAlignment="1" applyProtection="1">
      <alignment horizontal="left"/>
    </xf>
    <xf numFmtId="0" fontId="2" fillId="6" borderId="0" xfId="0" applyFont="1" applyFill="1" applyProtection="1"/>
    <xf numFmtId="0" fontId="0" fillId="5" borderId="25" xfId="0" applyFill="1" applyBorder="1" applyAlignment="1" applyProtection="1">
      <alignment horizontal="left"/>
    </xf>
    <xf numFmtId="0" fontId="0" fillId="5" borderId="26" xfId="0" applyFill="1" applyBorder="1" applyProtection="1"/>
    <xf numFmtId="0" fontId="0" fillId="5" borderId="25" xfId="0" applyFill="1" applyBorder="1" applyProtection="1"/>
    <xf numFmtId="0" fontId="0" fillId="5" borderId="27" xfId="0" applyFill="1" applyBorder="1" applyProtection="1"/>
    <xf numFmtId="0" fontId="15" fillId="5" borderId="25" xfId="0" applyFont="1" applyFill="1" applyBorder="1" applyAlignment="1" applyProtection="1">
      <alignment horizontal="left"/>
    </xf>
    <xf numFmtId="0" fontId="8" fillId="5" borderId="25" xfId="0" applyFont="1" applyFill="1" applyBorder="1" applyProtection="1"/>
    <xf numFmtId="0" fontId="8" fillId="5" borderId="31" xfId="0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2" fillId="6" borderId="0" xfId="0" applyFont="1" applyFill="1" applyAlignment="1" applyProtection="1">
      <alignment horizontal="center"/>
    </xf>
    <xf numFmtId="0" fontId="2" fillId="6" borderId="0" xfId="0" applyFont="1" applyFill="1" applyAlignment="1" applyProtection="1">
      <alignment horizontal="center"/>
    </xf>
    <xf numFmtId="0" fontId="2" fillId="6" borderId="0" xfId="0" applyFont="1" applyFill="1" applyAlignment="1" applyProtection="1">
      <alignment horizontal="center" vertical="center"/>
    </xf>
    <xf numFmtId="0" fontId="2" fillId="6" borderId="0" xfId="0" applyFont="1" applyFill="1" applyAlignment="1" applyProtection="1">
      <alignment horizontal="center" wrapText="1"/>
    </xf>
    <xf numFmtId="171" fontId="0" fillId="5" borderId="27" xfId="0" applyNumberFormat="1" applyFill="1" applyBorder="1" applyAlignment="1" applyProtection="1">
      <alignment horizontal="center" vertical="center"/>
    </xf>
    <xf numFmtId="171" fontId="0" fillId="5" borderId="26" xfId="0" applyNumberFormat="1" applyFill="1" applyBorder="1" applyAlignment="1" applyProtection="1">
      <alignment horizontal="center" vertical="center"/>
    </xf>
    <xf numFmtId="171" fontId="0" fillId="5" borderId="25" xfId="0" applyNumberFormat="1" applyFill="1" applyBorder="1" applyAlignment="1" applyProtection="1">
      <alignment horizontal="center" vertical="center"/>
    </xf>
    <xf numFmtId="9" fontId="0" fillId="5" borderId="27" xfId="3" applyFont="1" applyFill="1" applyBorder="1" applyProtection="1"/>
    <xf numFmtId="171" fontId="0" fillId="5" borderId="27" xfId="0" applyNumberFormat="1" applyFill="1" applyBorder="1" applyProtection="1"/>
    <xf numFmtId="171" fontId="0" fillId="5" borderId="26" xfId="0" applyNumberFormat="1" applyFill="1" applyBorder="1" applyProtection="1"/>
    <xf numFmtId="0" fontId="10" fillId="5" borderId="25" xfId="0" applyFont="1" applyFill="1" applyBorder="1" applyProtection="1"/>
    <xf numFmtId="171" fontId="0" fillId="5" borderId="24" xfId="0" applyNumberFormat="1" applyFill="1" applyBorder="1" applyAlignment="1" applyProtection="1">
      <alignment horizontal="center" vertical="center"/>
    </xf>
    <xf numFmtId="171" fontId="0" fillId="13" borderId="24" xfId="0" applyNumberFormat="1" applyFill="1" applyBorder="1" applyAlignment="1" applyProtection="1">
      <alignment horizontal="center" vertical="center"/>
    </xf>
    <xf numFmtId="171" fontId="0" fillId="13" borderId="24" xfId="0" applyNumberFormat="1" applyFill="1" applyBorder="1" applyProtection="1"/>
    <xf numFmtId="9" fontId="0" fillId="13" borderId="24" xfId="3" applyFont="1" applyFill="1" applyBorder="1" applyProtection="1"/>
    <xf numFmtId="0" fontId="17" fillId="5" borderId="0" xfId="0" applyFont="1" applyFill="1" applyProtection="1"/>
    <xf numFmtId="0" fontId="6" fillId="5" borderId="0" xfId="0" applyFont="1" applyFill="1" applyProtection="1"/>
    <xf numFmtId="0" fontId="0" fillId="5" borderId="0" xfId="0" applyFill="1" applyAlignment="1" applyProtection="1">
      <alignment horizontal="left" indent="2"/>
    </xf>
    <xf numFmtId="171" fontId="0" fillId="12" borderId="34" xfId="0" applyNumberFormat="1" applyFill="1" applyBorder="1" applyAlignment="1" applyProtection="1">
      <alignment horizontal="center" vertical="center"/>
      <protection hidden="1"/>
    </xf>
    <xf numFmtId="0" fontId="2" fillId="6" borderId="32" xfId="0" applyFont="1" applyFill="1" applyBorder="1" applyAlignment="1" applyProtection="1">
      <alignment horizontal="center" vertical="center"/>
      <protection locked="0" hidden="1"/>
    </xf>
    <xf numFmtId="171" fontId="13" fillId="11" borderId="33" xfId="4" applyNumberFormat="1" applyBorder="1" applyAlignment="1" applyProtection="1">
      <alignment horizontal="center" vertical="center"/>
      <protection locked="0" hidden="1"/>
    </xf>
    <xf numFmtId="0" fontId="13" fillId="11" borderId="30" xfId="4" applyBorder="1" applyAlignment="1" applyProtection="1">
      <alignment horizontal="center" vertical="center"/>
      <protection locked="0" hidden="1"/>
    </xf>
    <xf numFmtId="44" fontId="6" fillId="3" borderId="2" xfId="1" applyFont="1" applyFill="1" applyBorder="1" applyAlignment="1" applyProtection="1">
      <alignment horizontal="center"/>
      <protection locked="0" hidden="1"/>
    </xf>
    <xf numFmtId="44" fontId="6" fillId="3" borderId="3" xfId="1" applyFont="1" applyFill="1" applyBorder="1" applyAlignment="1" applyProtection="1">
      <alignment horizontal="center"/>
      <protection locked="0" hidden="1"/>
    </xf>
    <xf numFmtId="165" fontId="6" fillId="3" borderId="2" xfId="1" applyNumberFormat="1" applyFont="1" applyFill="1" applyBorder="1" applyAlignment="1" applyProtection="1">
      <alignment horizontal="left"/>
      <protection locked="0" hidden="1"/>
    </xf>
    <xf numFmtId="168" fontId="6" fillId="3" borderId="1" xfId="2" applyNumberFormat="1" applyFont="1" applyFill="1" applyBorder="1" applyProtection="1">
      <protection locked="0" hidden="1"/>
    </xf>
  </cellXfs>
  <cellStyles count="5">
    <cellStyle name="Comma" xfId="2" builtinId="3"/>
    <cellStyle name="Currency" xfId="1" builtinId="4"/>
    <cellStyle name="Good" xfId="4" builtinId="26"/>
    <cellStyle name="Normal" xfId="0" builtinId="0"/>
    <cellStyle name="Percent" xfId="3" builtinId="5"/>
  </cellStyles>
  <dxfs count="2">
    <dxf>
      <font>
        <strike val="0"/>
        <color theme="0" tint="-0.14996795556505021"/>
      </font>
    </dxf>
    <dxf>
      <font>
        <strike val="0"/>
        <color theme="0" tint="-0.14996795556505021"/>
      </font>
    </dxf>
  </dxfs>
  <tableStyles count="0" defaultTableStyle="TableStyleMedium2" defaultPivotStyle="PivotStyleLight16"/>
  <colors>
    <mruColors>
      <color rgb="FFCD7F32"/>
      <color rgb="FFC0C0C0"/>
      <color rgb="FFFF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Cash contribution % by Participant</a:t>
            </a:r>
            <a:r>
              <a:rPr lang="en-AU" baseline="0"/>
              <a:t> Mix 2/3 Total parties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'example data'!$G$3</c:f>
              <c:strCache>
                <c:ptCount val="1"/>
                <c:pt idx="0">
                  <c:v>Non-Participant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FF0000"/>
              </a:solidFill>
            </a:ln>
            <a:effectLst/>
          </c:spPr>
          <c:invertIfNegative val="0"/>
          <c:val>
            <c:numRef>
              <c:f>'example data'!$G$4:$G$25</c:f>
              <c:numCache>
                <c:formatCode>General</c:formatCode>
                <c:ptCount val="2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3-44F7-934C-DD2BF5A76F52}"/>
            </c:ext>
          </c:extLst>
        </c:ser>
        <c:ser>
          <c:idx val="2"/>
          <c:order val="1"/>
          <c:tx>
            <c:strRef>
              <c:f>'example data'!$F$3</c:f>
              <c:strCache>
                <c:ptCount val="1"/>
                <c:pt idx="0">
                  <c:v>Bronze</c:v>
                </c:pt>
              </c:strCache>
            </c:strRef>
          </c:tx>
          <c:spPr>
            <a:solidFill>
              <a:srgbClr val="CD7F32"/>
            </a:solidFill>
            <a:ln>
              <a:noFill/>
            </a:ln>
            <a:effectLst/>
          </c:spPr>
          <c:invertIfNegative val="0"/>
          <c:val>
            <c:numRef>
              <c:f>'example data'!$F$4:$F$25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3-44F7-934C-DD2BF5A76F52}"/>
            </c:ext>
          </c:extLst>
        </c:ser>
        <c:ser>
          <c:idx val="1"/>
          <c:order val="2"/>
          <c:tx>
            <c:strRef>
              <c:f>'example data'!$E$3</c:f>
              <c:strCache>
                <c:ptCount val="1"/>
                <c:pt idx="0">
                  <c:v>Silver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val>
            <c:numRef>
              <c:f>'example data'!$E$4:$E$25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3-44F7-934C-DD2BF5A76F52}"/>
            </c:ext>
          </c:extLst>
        </c:ser>
        <c:ser>
          <c:idx val="0"/>
          <c:order val="3"/>
          <c:tx>
            <c:strRef>
              <c:f>'example data'!$D$3</c:f>
              <c:strCache>
                <c:ptCount val="1"/>
                <c:pt idx="0">
                  <c:v>Gold</c:v>
                </c:pt>
              </c:strCache>
            </c:strRef>
          </c:tx>
          <c:spPr>
            <a:solidFill>
              <a:srgbClr val="FFD700"/>
            </a:solidFill>
            <a:ln>
              <a:noFill/>
            </a:ln>
            <a:effectLst/>
          </c:spPr>
          <c:invertIfNegative val="0"/>
          <c:val>
            <c:numRef>
              <c:f>'example data'!$D$4:$D$25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3-44F7-934C-DD2BF5A7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051647"/>
        <c:axId val="743262255"/>
      </c:barChart>
      <c:lineChart>
        <c:grouping val="standard"/>
        <c:varyColors val="0"/>
        <c:ser>
          <c:idx val="4"/>
          <c:order val="4"/>
          <c:tx>
            <c:strRef>
              <c:f>'example data'!$J$3</c:f>
              <c:strCache>
                <c:ptCount val="1"/>
                <c:pt idx="0">
                  <c:v>Cont'n %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'example data'!$J$4:$J$25</c:f>
              <c:numCache>
                <c:formatCode>0%</c:formatCode>
                <c:ptCount val="2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83-44F7-934C-DD2BF5A7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06575"/>
        <c:axId val="1490901151"/>
      </c:lineChart>
      <c:catAx>
        <c:axId val="2990516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262255"/>
        <c:crosses val="autoZero"/>
        <c:auto val="1"/>
        <c:lblAlgn val="ctr"/>
        <c:lblOffset val="100"/>
        <c:noMultiLvlLbl val="0"/>
      </c:catAx>
      <c:valAx>
        <c:axId val="7432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051647"/>
        <c:crosses val="autoZero"/>
        <c:crossBetween val="between"/>
        <c:majorUnit val="1"/>
        <c:minorUnit val="0.5"/>
      </c:valAx>
      <c:valAx>
        <c:axId val="149090115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106575"/>
        <c:crosses val="max"/>
        <c:crossBetween val="between"/>
      </c:valAx>
      <c:catAx>
        <c:axId val="750106575"/>
        <c:scaling>
          <c:orientation val="minMax"/>
        </c:scaling>
        <c:delete val="1"/>
        <c:axPos val="b"/>
        <c:majorTickMark val="out"/>
        <c:minorTickMark val="none"/>
        <c:tickLblPos val="nextTo"/>
        <c:crossAx val="149090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Cash contribution % by Participant</a:t>
            </a:r>
            <a:r>
              <a:rPr lang="en-AU" baseline="0"/>
              <a:t> Mix 4 Total parties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'example data'!$G$3</c:f>
              <c:strCache>
                <c:ptCount val="1"/>
                <c:pt idx="0">
                  <c:v>Non-Participant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FF0000"/>
              </a:solidFill>
            </a:ln>
            <a:effectLst/>
          </c:spPr>
          <c:invertIfNegative val="0"/>
          <c:val>
            <c:numRef>
              <c:f>'example data'!$G$26:$G$56</c:f>
              <c:numCache>
                <c:formatCode>General</c:formatCode>
                <c:ptCount val="3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9-48EB-8A9D-5BBCF3681D42}"/>
            </c:ext>
          </c:extLst>
        </c:ser>
        <c:ser>
          <c:idx val="2"/>
          <c:order val="1"/>
          <c:tx>
            <c:strRef>
              <c:f>'example data'!$F$3</c:f>
              <c:strCache>
                <c:ptCount val="1"/>
                <c:pt idx="0">
                  <c:v>Bronze</c:v>
                </c:pt>
              </c:strCache>
            </c:strRef>
          </c:tx>
          <c:spPr>
            <a:solidFill>
              <a:srgbClr val="CD7F32"/>
            </a:solidFill>
            <a:ln>
              <a:noFill/>
            </a:ln>
            <a:effectLst/>
          </c:spPr>
          <c:invertIfNegative val="0"/>
          <c:val>
            <c:numRef>
              <c:f>'example data'!$F$26:$F$56</c:f>
              <c:numCache>
                <c:formatCode>General</c:formatCode>
                <c:ptCount val="3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9-48EB-8A9D-5BBCF3681D42}"/>
            </c:ext>
          </c:extLst>
        </c:ser>
        <c:ser>
          <c:idx val="1"/>
          <c:order val="2"/>
          <c:tx>
            <c:strRef>
              <c:f>'example data'!$E$3</c:f>
              <c:strCache>
                <c:ptCount val="1"/>
                <c:pt idx="0">
                  <c:v>Silver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val>
            <c:numRef>
              <c:f>'example data'!$E$26:$E$56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9-48EB-8A9D-5BBCF3681D42}"/>
            </c:ext>
          </c:extLst>
        </c:ser>
        <c:ser>
          <c:idx val="0"/>
          <c:order val="3"/>
          <c:tx>
            <c:strRef>
              <c:f>'example data'!$D$3</c:f>
              <c:strCache>
                <c:ptCount val="1"/>
                <c:pt idx="0">
                  <c:v>Gold</c:v>
                </c:pt>
              </c:strCache>
            </c:strRef>
          </c:tx>
          <c:spPr>
            <a:solidFill>
              <a:srgbClr val="FFD700"/>
            </a:solidFill>
            <a:ln>
              <a:noFill/>
            </a:ln>
            <a:effectLst/>
          </c:spPr>
          <c:invertIfNegative val="0"/>
          <c:val>
            <c:numRef>
              <c:f>'example data'!$D$26:$D$56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39-48EB-8A9D-5BBCF3681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051647"/>
        <c:axId val="743262255"/>
      </c:barChart>
      <c:lineChart>
        <c:grouping val="standard"/>
        <c:varyColors val="0"/>
        <c:ser>
          <c:idx val="4"/>
          <c:order val="4"/>
          <c:tx>
            <c:strRef>
              <c:f>'example data'!$J$3</c:f>
              <c:strCache>
                <c:ptCount val="1"/>
                <c:pt idx="0">
                  <c:v>Cont'n %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'example data'!$J$26:$J$56</c:f>
              <c:numCache>
                <c:formatCode>0%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39-48EB-8A9D-5BBCF3681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06575"/>
        <c:axId val="1490901151"/>
      </c:lineChart>
      <c:catAx>
        <c:axId val="2990516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262255"/>
        <c:crosses val="autoZero"/>
        <c:auto val="1"/>
        <c:lblAlgn val="ctr"/>
        <c:lblOffset val="100"/>
        <c:noMultiLvlLbl val="0"/>
      </c:catAx>
      <c:valAx>
        <c:axId val="74326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051647"/>
        <c:crosses val="autoZero"/>
        <c:crossBetween val="between"/>
        <c:majorUnit val="1"/>
        <c:minorUnit val="0.5"/>
      </c:valAx>
      <c:valAx>
        <c:axId val="1490901151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106575"/>
        <c:crosses val="max"/>
        <c:crossBetween val="between"/>
      </c:valAx>
      <c:catAx>
        <c:axId val="750106575"/>
        <c:scaling>
          <c:orientation val="minMax"/>
        </c:scaling>
        <c:delete val="1"/>
        <c:axPos val="b"/>
        <c:majorTickMark val="out"/>
        <c:minorTickMark val="none"/>
        <c:tickLblPos val="nextTo"/>
        <c:crossAx val="149090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22</xdr:col>
      <xdr:colOff>106680</xdr:colOff>
      <xdr:row>27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DA5946-E393-4DED-B342-E09010E9F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22</xdr:col>
      <xdr:colOff>106680</xdr:colOff>
      <xdr:row>55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910688-143C-4981-A285-94E8E374C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68581</xdr:colOff>
      <xdr:row>6</xdr:row>
      <xdr:rowOff>166523</xdr:rowOff>
    </xdr:from>
    <xdr:to>
      <xdr:col>8</xdr:col>
      <xdr:colOff>601981</xdr:colOff>
      <xdr:row>24</xdr:row>
      <xdr:rowOff>45720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270B1D-40ED-829B-3731-CE7AEBDC7FE7}"/>
            </a:ext>
          </a:extLst>
        </xdr:cNvPr>
        <xdr:cNvSpPr txBox="1"/>
      </xdr:nvSpPr>
      <xdr:spPr>
        <a:xfrm>
          <a:off x="68581" y="1263803"/>
          <a:ext cx="5410200" cy="3978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AU" sz="1400" b="1" i="0" u="sng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2"/>
          <a:r>
            <a:rPr lang="en-AU" sz="1400" b="1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Cash Contribution Calculator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  <a:r>
            <a:rPr lang="en-AU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 sz="1400"/>
            <a:t> </a:t>
          </a:r>
        </a:p>
        <a:p>
          <a:endParaRPr lang="en-AU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AU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Select the </a:t>
          </a:r>
          <a:r>
            <a:rPr lang="en-A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project type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from the drop down box in 'D4'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</a:p>
        <a:p>
          <a:pPr lvl="1"/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the</a:t>
          </a:r>
          <a:r>
            <a:rPr lang="en-A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Total Project Cash Cost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'D5'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</a:p>
        <a:p>
          <a:pPr lvl="1"/>
          <a:endParaRPr lang="en-AU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Complete the Tab: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endParaRPr lang="en-AU"/>
        </a:p>
        <a:p>
          <a:pPr lvl="1"/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i. Select the </a:t>
          </a:r>
          <a:r>
            <a:rPr lang="en-A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location(s) and facility type(s)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pertaining to your project from the</a:t>
          </a:r>
          <a:r>
            <a:rPr lang="en-AU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 in the Drop Down box in 'B4' for the first facility required, 'B5' for the second facility required and so on.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</a:p>
        <a:p>
          <a:pPr lvl="1"/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ii. Select the </a:t>
          </a:r>
          <a:r>
            <a:rPr lang="en-A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financial year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from the Drop Down box in 'C4' for the first facility required, 'C5' for the second facility required and so on.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</a:p>
        <a:p>
          <a:pPr lvl="1"/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iii.  Enter the </a:t>
          </a:r>
          <a:r>
            <a:rPr lang="en-A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 of base experiments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'D4' for the first facility required, 'D5' for the second facility required and so on.</a:t>
          </a:r>
          <a:r>
            <a:rPr lang="en-AU"/>
            <a:t> </a:t>
          </a:r>
        </a:p>
        <a:p>
          <a:pPr lvl="1"/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</a:p>
        <a:p>
          <a:pPr lvl="0"/>
          <a:endParaRPr lang="en-AU" sz="1100" b="1" i="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AU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Enter the number of parties to the project by participant type: </a:t>
          </a:r>
          <a:r>
            <a:rPr lang="en-A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Gold, Silver, Bronze, Non-Participant or sub-contractor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the green boxes.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AU"/>
            <a:t> </a:t>
          </a:r>
        </a:p>
        <a:p>
          <a:pPr lvl="1"/>
          <a:endParaRPr lang="en-AU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69677</xdr:colOff>
      <xdr:row>0</xdr:row>
      <xdr:rowOff>68706</xdr:rowOff>
    </xdr:from>
    <xdr:to>
      <xdr:col>8</xdr:col>
      <xdr:colOff>601525</xdr:colOff>
      <xdr:row>6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8567F2-1B19-7340-E95B-158941D3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77" y="68706"/>
          <a:ext cx="5408648" cy="118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530533</xdr:colOff>
      <xdr:row>12</xdr:row>
      <xdr:rowOff>377075</xdr:rowOff>
    </xdr:from>
    <xdr:to>
      <xdr:col>4</xdr:col>
      <xdr:colOff>400966</xdr:colOff>
      <xdr:row>13</xdr:row>
      <xdr:rowOff>194448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097FECF-E5A0-7DA6-FB4A-71CBE31B5E4E}"/>
            </a:ext>
          </a:extLst>
        </xdr:cNvPr>
        <xdr:cNvSpPr txBox="1"/>
      </xdr:nvSpPr>
      <xdr:spPr>
        <a:xfrm>
          <a:off x="1749733" y="2571635"/>
          <a:ext cx="1089633" cy="228853"/>
        </a:xfrm>
        <a:prstGeom prst="rect">
          <a:avLst/>
        </a:prstGeom>
        <a:solidFill>
          <a:srgbClr val="FFC000"/>
        </a:solidFill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en-AU" sz="1100"/>
            <a:t>Facility Funding</a:t>
          </a:r>
        </a:p>
      </xdr:txBody>
    </xdr:sp>
    <xdr:clientData/>
  </xdr:twoCellAnchor>
  <xdr:twoCellAnchor>
    <xdr:from>
      <xdr:col>0</xdr:col>
      <xdr:colOff>145676</xdr:colOff>
      <xdr:row>9</xdr:row>
      <xdr:rowOff>15030</xdr:rowOff>
    </xdr:from>
    <xdr:to>
      <xdr:col>1</xdr:col>
      <xdr:colOff>132339</xdr:colOff>
      <xdr:row>10</xdr:row>
      <xdr:rowOff>137750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A7F75AA-C77B-4607-A97F-93719E717751}"/>
            </a:ext>
          </a:extLst>
        </xdr:cNvPr>
        <xdr:cNvSpPr txBox="1"/>
      </xdr:nvSpPr>
      <xdr:spPr>
        <a:xfrm>
          <a:off x="145676" y="1752390"/>
          <a:ext cx="596263" cy="305600"/>
        </a:xfrm>
        <a:prstGeom prst="rect">
          <a:avLst/>
        </a:prstGeom>
        <a:solidFill>
          <a:sysClr val="window" lastClr="FFFFFF"/>
        </a:solidFill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100" b="1"/>
            <a:t>Step 1:</a:t>
          </a:r>
        </a:p>
      </xdr:txBody>
    </xdr:sp>
    <xdr:clientData/>
  </xdr:twoCellAnchor>
  <xdr:twoCellAnchor>
    <xdr:from>
      <xdr:col>0</xdr:col>
      <xdr:colOff>130795</xdr:colOff>
      <xdr:row>19</xdr:row>
      <xdr:rowOff>30269</xdr:rowOff>
    </xdr:from>
    <xdr:to>
      <xdr:col>1</xdr:col>
      <xdr:colOff>117458</xdr:colOff>
      <xdr:row>20</xdr:row>
      <xdr:rowOff>152989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98F7C98-48C0-431A-A8D4-7BDB56A34AAA}"/>
            </a:ext>
          </a:extLst>
        </xdr:cNvPr>
        <xdr:cNvSpPr txBox="1"/>
      </xdr:nvSpPr>
      <xdr:spPr>
        <a:xfrm>
          <a:off x="130795" y="4312709"/>
          <a:ext cx="596263" cy="305600"/>
        </a:xfrm>
        <a:prstGeom prst="rect">
          <a:avLst/>
        </a:prstGeom>
        <a:solidFill>
          <a:sysClr val="window" lastClr="FFFFFF"/>
        </a:solidFill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100" b="1"/>
            <a:t>Step 2: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60960</xdr:rowOff>
    </xdr:from>
    <xdr:ext cx="583558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52E66FB-F98C-D1A4-DD85-90DC03A0B9CD}"/>
            </a:ext>
          </a:extLst>
        </xdr:cNvPr>
        <xdr:cNvSpPr txBox="1"/>
      </xdr:nvSpPr>
      <xdr:spPr>
        <a:xfrm>
          <a:off x="167640" y="60960"/>
          <a:ext cx="583558" cy="28020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200" b="1"/>
            <a:t>Step 1</a:t>
          </a:r>
        </a:p>
      </xdr:txBody>
    </xdr:sp>
    <xdr:clientData/>
  </xdr:oneCellAnchor>
  <xdr:oneCellAnchor>
    <xdr:from>
      <xdr:col>5</xdr:col>
      <xdr:colOff>0</xdr:colOff>
      <xdr:row>0</xdr:row>
      <xdr:rowOff>45720</xdr:rowOff>
    </xdr:from>
    <xdr:ext cx="583558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8815337-CD4C-48EF-BEAD-6E7B341093CB}"/>
            </a:ext>
          </a:extLst>
        </xdr:cNvPr>
        <xdr:cNvSpPr txBox="1"/>
      </xdr:nvSpPr>
      <xdr:spPr>
        <a:xfrm>
          <a:off x="4427220" y="45720"/>
          <a:ext cx="583558" cy="28020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200" b="1"/>
            <a:t>Step 2</a:t>
          </a:r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4076700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E8681EE-35FC-44B6-9A77-149231A2AF7F}"/>
            </a:ext>
          </a:extLst>
        </xdr:cNvPr>
        <xdr:cNvSpPr txBox="1"/>
      </xdr:nvSpPr>
      <xdr:spPr>
        <a:xfrm>
          <a:off x="167640" y="1889760"/>
          <a:ext cx="4076700" cy="280205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AU" sz="1200" b="1"/>
            <a:t>Table:</a:t>
          </a:r>
          <a:r>
            <a:rPr lang="en-AU" sz="1200" b="1" baseline="0"/>
            <a:t> </a:t>
          </a:r>
          <a:r>
            <a:rPr lang="en-AU" sz="1200" b="1"/>
            <a:t>Summary</a:t>
          </a:r>
          <a:r>
            <a:rPr lang="en-AU" sz="1200" b="1" baseline="0"/>
            <a:t> of Cash Contribution by Project Parties:</a:t>
          </a:r>
          <a:endParaRPr lang="en-AU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E5AF-784A-45F0-9F36-20A66810D7E7}">
  <sheetPr codeName="Sheet3"/>
  <dimension ref="I2:O3"/>
  <sheetViews>
    <sheetView topLeftCell="B1" workbookViewId="0">
      <selection activeCell="W20" sqref="W20"/>
    </sheetView>
  </sheetViews>
  <sheetFormatPr defaultColWidth="8.85546875" defaultRowHeight="15" x14ac:dyDescent="0.25"/>
  <sheetData>
    <row r="2" spans="9:15" ht="15.75" thickBot="1" x14ac:dyDescent="0.3"/>
    <row r="3" spans="9:15" ht="21.75" thickBot="1" x14ac:dyDescent="0.4">
      <c r="I3" s="68" t="str">
        <f>'example data'!B2</f>
        <v>Innovation</v>
      </c>
      <c r="J3" s="69"/>
      <c r="K3" s="69"/>
      <c r="L3" s="69"/>
      <c r="M3" s="69"/>
      <c r="N3" s="69"/>
      <c r="O3" s="70"/>
    </row>
  </sheetData>
  <mergeCells count="1">
    <mergeCell ref="I3:O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EF86-A3AE-464F-80E7-E494357C8BF7}">
  <sheetPr codeName="Sheet5">
    <tabColor rgb="FF92D050"/>
  </sheetPr>
  <dimension ref="A7:L19"/>
  <sheetViews>
    <sheetView tabSelected="1" workbookViewId="0">
      <selection activeCell="A30" sqref="A30"/>
    </sheetView>
  </sheetViews>
  <sheetFormatPr defaultColWidth="8.85546875" defaultRowHeight="15" x14ac:dyDescent="0.25"/>
  <cols>
    <col min="1" max="16384" width="8.85546875" style="65"/>
  </cols>
  <sheetData>
    <row r="7" spans="1:12" ht="18" customHeight="1" x14ac:dyDescent="0.3">
      <c r="A7" s="67"/>
    </row>
    <row r="9" spans="1:12" ht="18" customHeight="1" x14ac:dyDescent="0.3">
      <c r="A9" s="66"/>
    </row>
    <row r="12" spans="1:12" ht="7.35" customHeight="1" x14ac:dyDescent="0.25"/>
    <row r="13" spans="1:12" ht="32.450000000000003" customHeight="1" x14ac:dyDescent="0.2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1:12" ht="31.7" customHeight="1" x14ac:dyDescent="0.25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ht="35.450000000000003" customHeight="1" x14ac:dyDescent="0.25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7" spans="1:1" ht="18.75" x14ac:dyDescent="0.3">
      <c r="A17" s="66"/>
    </row>
    <row r="19" spans="1:1" ht="18.75" x14ac:dyDescent="0.3">
      <c r="A19" s="66"/>
    </row>
  </sheetData>
  <mergeCells count="3">
    <mergeCell ref="B13:L13"/>
    <mergeCell ref="B14:L14"/>
    <mergeCell ref="B15:L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384EA-4E21-4A20-8EB5-7AA8B01BFA45}">
  <sheetPr codeName="Sheet6">
    <tabColor rgb="FF92D050"/>
  </sheetPr>
  <dimension ref="B2:P30"/>
  <sheetViews>
    <sheetView workbookViewId="0">
      <selection activeCell="D5" sqref="D5"/>
    </sheetView>
  </sheetViews>
  <sheetFormatPr defaultColWidth="8.85546875" defaultRowHeight="15" x14ac:dyDescent="0.25"/>
  <cols>
    <col min="1" max="1" width="2.42578125" style="90" customWidth="1"/>
    <col min="2" max="2" width="44.42578125" style="90" customWidth="1"/>
    <col min="3" max="3" width="1.42578125" style="90" customWidth="1"/>
    <col min="4" max="4" width="20.42578125" style="90" customWidth="1"/>
    <col min="5" max="5" width="2.42578125" style="90" customWidth="1"/>
    <col min="6" max="6" width="11.85546875" style="90" customWidth="1"/>
    <col min="7" max="7" width="11.42578125" style="90" customWidth="1"/>
    <col min="8" max="8" width="17.7109375" style="90" customWidth="1"/>
    <col min="9" max="9" width="2.7109375" style="90" customWidth="1"/>
    <col min="10" max="10" width="11.140625" style="90" customWidth="1"/>
    <col min="11" max="11" width="11.28515625" style="90" customWidth="1"/>
    <col min="12" max="12" width="9.7109375" style="90" customWidth="1"/>
    <col min="13" max="13" width="12.85546875" style="90" customWidth="1"/>
    <col min="14" max="14" width="13.85546875" style="90" customWidth="1"/>
    <col min="15" max="16" width="12.42578125" style="90" customWidth="1"/>
    <col min="17" max="17" width="13.28515625" style="90" customWidth="1"/>
    <col min="18" max="16384" width="8.85546875" style="90"/>
  </cols>
  <sheetData>
    <row r="2" spans="2:16" ht="15" customHeight="1" x14ac:dyDescent="0.25"/>
    <row r="3" spans="2:16" ht="15" customHeight="1" thickBot="1" x14ac:dyDescent="0.3">
      <c r="B3" s="91" t="s">
        <v>99</v>
      </c>
      <c r="C3" s="92"/>
      <c r="D3" s="93"/>
      <c r="F3" s="94" t="s">
        <v>60</v>
      </c>
      <c r="G3" s="94"/>
      <c r="H3" s="95" t="s">
        <v>62</v>
      </c>
    </row>
    <row r="4" spans="2:16" ht="15" customHeight="1" thickBot="1" x14ac:dyDescent="0.3">
      <c r="B4" s="96" t="s">
        <v>100</v>
      </c>
      <c r="C4" s="97"/>
      <c r="D4" s="123" t="s">
        <v>107</v>
      </c>
      <c r="F4" s="98" t="s">
        <v>50</v>
      </c>
      <c r="G4" s="99"/>
      <c r="H4" s="125"/>
    </row>
    <row r="5" spans="2:16" ht="15.75" thickBot="1" x14ac:dyDescent="0.3">
      <c r="B5" s="96" t="s">
        <v>101</v>
      </c>
      <c r="C5" s="99"/>
      <c r="D5" s="124"/>
      <c r="F5" s="98" t="s">
        <v>51</v>
      </c>
      <c r="G5" s="99"/>
      <c r="H5" s="125"/>
    </row>
    <row r="6" spans="2:16" ht="15.75" thickBot="1" x14ac:dyDescent="0.3">
      <c r="B6" s="100" t="s">
        <v>59</v>
      </c>
      <c r="C6" s="97"/>
      <c r="D6" s="122">
        <f>FF_Cash_budget</f>
        <v>0</v>
      </c>
      <c r="F6" s="98" t="s">
        <v>52</v>
      </c>
      <c r="G6" s="99"/>
      <c r="H6" s="125"/>
    </row>
    <row r="7" spans="2:16" ht="15.75" thickBot="1" x14ac:dyDescent="0.3">
      <c r="F7" s="98" t="s">
        <v>53</v>
      </c>
      <c r="G7" s="99"/>
      <c r="H7" s="125"/>
    </row>
    <row r="8" spans="2:16" ht="15.75" thickBot="1" x14ac:dyDescent="0.3">
      <c r="F8" s="101" t="s">
        <v>63</v>
      </c>
      <c r="G8" s="97"/>
      <c r="H8" s="102">
        <f>SUM(H4:H7)</f>
        <v>0</v>
      </c>
    </row>
    <row r="9" spans="2:16" ht="15.75" thickBot="1" x14ac:dyDescent="0.3">
      <c r="F9" s="98" t="s">
        <v>54</v>
      </c>
      <c r="G9" s="99"/>
      <c r="H9" s="125"/>
    </row>
    <row r="10" spans="2:16" ht="14.45" customHeight="1" x14ac:dyDescent="0.25"/>
    <row r="12" spans="2:16" x14ac:dyDescent="0.25">
      <c r="J12" s="103" t="s">
        <v>73</v>
      </c>
      <c r="K12" s="103" t="s">
        <v>74</v>
      </c>
      <c r="L12" s="103" t="s">
        <v>75</v>
      </c>
      <c r="M12" s="103" t="s">
        <v>90</v>
      </c>
      <c r="N12" s="103" t="s">
        <v>91</v>
      </c>
      <c r="O12" s="103" t="s">
        <v>92</v>
      </c>
      <c r="P12" s="103"/>
    </row>
    <row r="13" spans="2:16" x14ac:dyDescent="0.25">
      <c r="B13" s="104" t="s">
        <v>64</v>
      </c>
      <c r="C13" s="104"/>
      <c r="D13" s="104"/>
      <c r="E13" s="104"/>
      <c r="F13" s="104"/>
      <c r="G13" s="104"/>
      <c r="H13" s="104"/>
      <c r="J13" s="104" t="s">
        <v>68</v>
      </c>
      <c r="K13" s="104"/>
      <c r="L13" s="104"/>
      <c r="M13" s="104"/>
      <c r="N13" s="104"/>
      <c r="O13" s="104"/>
    </row>
    <row r="14" spans="2:16" ht="47.25" customHeight="1" x14ac:dyDescent="0.25">
      <c r="B14" s="105"/>
      <c r="C14" s="105"/>
      <c r="D14" s="105"/>
      <c r="E14" s="105"/>
      <c r="F14" s="106" t="s">
        <v>66</v>
      </c>
      <c r="G14" s="106" t="s">
        <v>67</v>
      </c>
      <c r="H14" s="106" t="s">
        <v>10</v>
      </c>
      <c r="J14" s="107" t="s">
        <v>69</v>
      </c>
      <c r="K14" s="107" t="s">
        <v>88</v>
      </c>
      <c r="L14" s="107" t="s">
        <v>70</v>
      </c>
      <c r="M14" s="107" t="s">
        <v>71</v>
      </c>
      <c r="N14" s="107" t="s">
        <v>72</v>
      </c>
      <c r="O14" s="107" t="s">
        <v>89</v>
      </c>
    </row>
    <row r="15" spans="2:16" x14ac:dyDescent="0.25">
      <c r="B15" s="98" t="s">
        <v>50</v>
      </c>
      <c r="C15" s="99"/>
      <c r="D15" s="99"/>
      <c r="E15" s="97"/>
      <c r="F15" s="108" t="e">
        <f t="shared" ref="F15:G18" si="0">M15</f>
        <v>#DIV/0!</v>
      </c>
      <c r="G15" s="108" t="e">
        <f t="shared" si="0"/>
        <v>#DIV/0!</v>
      </c>
      <c r="H15" s="109" t="e">
        <f>SUM(F15:G15)</f>
        <v>#DIV/0!</v>
      </c>
      <c r="J15" s="110" t="e">
        <f>ROUND(Project_cash_Budget/Total_parties*VLOOKUP($B15,$F$4:$H$9,3,FALSE),0)</f>
        <v>#DIV/0!</v>
      </c>
      <c r="K15" s="108" t="e">
        <f>ROUND(FF_Cash_budget/Total_parties*VLOOKUP($B15,$F$4:$H$9,3,FALSE),0)</f>
        <v>#DIV/0!</v>
      </c>
      <c r="L15" s="111">
        <f>VLOOKUP($B15&amp;" "&amp;$D$4,Participoant_benefits,2,FALSE)</f>
        <v>0</v>
      </c>
      <c r="M15" s="112" t="e">
        <f>J15*$L15</f>
        <v>#DIV/0!</v>
      </c>
      <c r="N15" s="112" t="e">
        <f>K15*$L15</f>
        <v>#DIV/0!</v>
      </c>
      <c r="O15" s="113" t="e">
        <f>SUM(M15:N15)</f>
        <v>#DIV/0!</v>
      </c>
    </row>
    <row r="16" spans="2:16" x14ac:dyDescent="0.25">
      <c r="B16" s="98" t="s">
        <v>51</v>
      </c>
      <c r="C16" s="99"/>
      <c r="D16" s="99"/>
      <c r="E16" s="97"/>
      <c r="F16" s="108" t="e">
        <f t="shared" si="0"/>
        <v>#DIV/0!</v>
      </c>
      <c r="G16" s="108" t="e">
        <f t="shared" si="0"/>
        <v>#DIV/0!</v>
      </c>
      <c r="H16" s="109" t="e">
        <f>SUM(F16:G16)</f>
        <v>#DIV/0!</v>
      </c>
      <c r="J16" s="110" t="e">
        <f>ROUND(Project_cash_Budget/Total_parties*VLOOKUP($B16,$F$4:$H$9,3,FALSE),0)</f>
        <v>#DIV/0!</v>
      </c>
      <c r="K16" s="108" t="e">
        <f>ROUND(FF_Cash_budget/Total_parties*VLOOKUP($B16,$F$4:$H$9,3,FALSE),0)</f>
        <v>#DIV/0!</v>
      </c>
      <c r="L16" s="111">
        <f>VLOOKUP($B16&amp;" "&amp;$D$4,Participoant_benefits,2,FALSE)</f>
        <v>0.15</v>
      </c>
      <c r="M16" s="112" t="e">
        <f t="shared" ref="M16:N18" si="1">J16*$L16</f>
        <v>#DIV/0!</v>
      </c>
      <c r="N16" s="112" t="e">
        <f t="shared" si="1"/>
        <v>#DIV/0!</v>
      </c>
      <c r="O16" s="113" t="e">
        <f>SUM(M16:N16)</f>
        <v>#DIV/0!</v>
      </c>
    </row>
    <row r="17" spans="2:15" x14ac:dyDescent="0.25">
      <c r="B17" s="98" t="s">
        <v>52</v>
      </c>
      <c r="C17" s="99"/>
      <c r="D17" s="99"/>
      <c r="E17" s="97"/>
      <c r="F17" s="108" t="e">
        <f t="shared" si="0"/>
        <v>#DIV/0!</v>
      </c>
      <c r="G17" s="108" t="e">
        <f t="shared" si="0"/>
        <v>#DIV/0!</v>
      </c>
      <c r="H17" s="109" t="e">
        <f>SUM(F17:G17)</f>
        <v>#DIV/0!</v>
      </c>
      <c r="J17" s="110" t="e">
        <f>ROUND(Project_cash_Budget/Total_parties*VLOOKUP($B17,$F$4:$H$9,3,FALSE),0)</f>
        <v>#DIV/0!</v>
      </c>
      <c r="K17" s="108" t="e">
        <f>ROUND(FF_Cash_budget/Total_parties*VLOOKUP($B17,$F$4:$H$9,3,FALSE),0)</f>
        <v>#DIV/0!</v>
      </c>
      <c r="L17" s="111">
        <f>VLOOKUP($B17&amp;" "&amp;$D$4,Participoant_benefits,2,FALSE)</f>
        <v>0.2</v>
      </c>
      <c r="M17" s="112" t="e">
        <f t="shared" si="1"/>
        <v>#DIV/0!</v>
      </c>
      <c r="N17" s="112" t="e">
        <f t="shared" si="1"/>
        <v>#DIV/0!</v>
      </c>
      <c r="O17" s="113" t="e">
        <f>SUM(M17:N17)</f>
        <v>#DIV/0!</v>
      </c>
    </row>
    <row r="18" spans="2:15" x14ac:dyDescent="0.25">
      <c r="B18" s="98" t="s">
        <v>53</v>
      </c>
      <c r="C18" s="99"/>
      <c r="D18" s="99"/>
      <c r="E18" s="97"/>
      <c r="F18" s="108" t="e">
        <f t="shared" si="0"/>
        <v>#DIV/0!</v>
      </c>
      <c r="G18" s="108" t="e">
        <f t="shared" si="0"/>
        <v>#DIV/0!</v>
      </c>
      <c r="H18" s="109" t="e">
        <f>SUM(F18:G18)</f>
        <v>#DIV/0!</v>
      </c>
      <c r="J18" s="110" t="e">
        <f>ROUND(Project_cash_Budget/Total_parties*VLOOKUP($B18,$F$4:$H$9,3,FALSE),0)</f>
        <v>#DIV/0!</v>
      </c>
      <c r="K18" s="108" t="e">
        <f>ROUND(FF_Cash_budget/Total_parties*VLOOKUP($B18,$F$4:$H$9,3,FALSE),0)</f>
        <v>#DIV/0!</v>
      </c>
      <c r="L18" s="111">
        <f>VLOOKUP($B18&amp;" "&amp;$D$4,Participoant_benefits,2,FALSE)</f>
        <v>0.5</v>
      </c>
      <c r="M18" s="112" t="e">
        <f t="shared" si="1"/>
        <v>#DIV/0!</v>
      </c>
      <c r="N18" s="112" t="e">
        <f t="shared" si="1"/>
        <v>#DIV/0!</v>
      </c>
      <c r="O18" s="113" t="e">
        <f>SUM(M18:N18)</f>
        <v>#DIV/0!</v>
      </c>
    </row>
    <row r="19" spans="2:15" x14ac:dyDescent="0.25">
      <c r="B19" s="98" t="s">
        <v>54</v>
      </c>
      <c r="C19" s="99"/>
      <c r="D19" s="99"/>
      <c r="E19" s="97"/>
      <c r="F19" s="108">
        <f t="shared" ref="F19:G19" si="2">O19</f>
        <v>0</v>
      </c>
      <c r="G19" s="108">
        <f t="shared" si="2"/>
        <v>0</v>
      </c>
      <c r="H19" s="109">
        <f>SUM(F19:G19)</f>
        <v>0</v>
      </c>
      <c r="J19" s="98"/>
      <c r="K19" s="99"/>
      <c r="L19" s="99"/>
      <c r="M19" s="99"/>
      <c r="N19" s="99"/>
      <c r="O19" s="97"/>
    </row>
    <row r="21" spans="2:15" ht="15.75" x14ac:dyDescent="0.25">
      <c r="B21" s="114" t="s">
        <v>65</v>
      </c>
      <c r="C21" s="99"/>
      <c r="D21" s="99"/>
      <c r="E21" s="97"/>
      <c r="F21" s="115" t="e">
        <f t="shared" ref="F21:G21" si="3">SUM(F15:F20)</f>
        <v>#DIV/0!</v>
      </c>
      <c r="G21" s="115" t="e">
        <f t="shared" si="3"/>
        <v>#DIV/0!</v>
      </c>
      <c r="H21" s="116" t="e">
        <f>SUM(H15:H20)</f>
        <v>#DIV/0!</v>
      </c>
      <c r="J21" s="117" t="e">
        <f>SUM(J15:J20)</f>
        <v>#DIV/0!</v>
      </c>
      <c r="K21" s="117" t="e">
        <f>SUM(K15:K20)</f>
        <v>#DIV/0!</v>
      </c>
      <c r="L21" s="118" t="e">
        <f>O21/SUM(J21:K21)</f>
        <v>#DIV/0!</v>
      </c>
      <c r="M21" s="117" t="e">
        <f>SUM(M15:M20)</f>
        <v>#DIV/0!</v>
      </c>
      <c r="N21" s="117" t="e">
        <f>SUM(N15:N20)</f>
        <v>#DIV/0!</v>
      </c>
      <c r="O21" s="117" t="e">
        <f>SUM(O15:O20)</f>
        <v>#DIV/0!</v>
      </c>
    </row>
    <row r="23" spans="2:15" x14ac:dyDescent="0.25">
      <c r="B23" s="119" t="s">
        <v>104</v>
      </c>
    </row>
    <row r="24" spans="2:15" x14ac:dyDescent="0.25">
      <c r="B24" s="120" t="s">
        <v>103</v>
      </c>
    </row>
    <row r="25" spans="2:15" x14ac:dyDescent="0.25">
      <c r="B25" s="120" t="s">
        <v>102</v>
      </c>
    </row>
    <row r="26" spans="2:15" x14ac:dyDescent="0.25">
      <c r="B26" s="120" t="s">
        <v>105</v>
      </c>
    </row>
    <row r="27" spans="2:15" x14ac:dyDescent="0.25">
      <c r="B27" s="90" t="s">
        <v>112</v>
      </c>
    </row>
    <row r="28" spans="2:15" x14ac:dyDescent="0.25">
      <c r="B28" s="121" t="s">
        <v>113</v>
      </c>
    </row>
    <row r="29" spans="2:15" x14ac:dyDescent="0.25">
      <c r="B29" s="121"/>
    </row>
    <row r="30" spans="2:15" x14ac:dyDescent="0.25">
      <c r="B30" s="121"/>
    </row>
  </sheetData>
  <sheetProtection algorithmName="SHA-512" hashValue="vX/H5fps1kNXVPOyTlZALt+M1HNz27HeVjVd31sZyTVkR7eQZNO0nWAAWVgfETEe9cCA3bnkS90IpTwQTyqYaQ==" saltValue="hyMof8KbIRsYqFvGwZSrNA==" spinCount="100000" sheet="1" objects="1" scenarios="1" selectLockedCells="1"/>
  <mergeCells count="3">
    <mergeCell ref="F3:G3"/>
    <mergeCell ref="B13:H13"/>
    <mergeCell ref="J13:O13"/>
  </mergeCells>
  <dataValidations count="1">
    <dataValidation type="list" allowBlank="1" showInputMessage="1" showErrorMessage="1" sqref="D4" xr:uid="{688C0907-BCAC-4873-8A4B-E069E0ECEC5A}">
      <formula1>Project_Type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8435-3E01-41F3-BB5E-A746A0FD37F8}">
  <sheetPr codeName="Sheet2">
    <tabColor rgb="FFFFC000"/>
  </sheetPr>
  <dimension ref="A1:H22"/>
  <sheetViews>
    <sheetView workbookViewId="0">
      <selection activeCell="G5" sqref="G5"/>
    </sheetView>
  </sheetViews>
  <sheetFormatPr defaultColWidth="8.85546875" defaultRowHeight="15" x14ac:dyDescent="0.25"/>
  <cols>
    <col min="2" max="2" width="72" customWidth="1"/>
    <col min="4" max="4" width="12.28515625" customWidth="1"/>
    <col min="8" max="8" width="11.42578125" customWidth="1"/>
  </cols>
  <sheetData>
    <row r="1" spans="1:8" ht="26.25" x14ac:dyDescent="0.4">
      <c r="A1" s="74" t="s">
        <v>14</v>
      </c>
      <c r="B1" s="75"/>
      <c r="C1" s="75"/>
      <c r="D1" s="75"/>
      <c r="E1" s="75"/>
      <c r="F1" s="75"/>
      <c r="G1" s="75"/>
      <c r="H1" s="75"/>
    </row>
    <row r="2" spans="1:8" x14ac:dyDescent="0.25">
      <c r="B2" s="16"/>
    </row>
    <row r="3" spans="1:8" ht="45" x14ac:dyDescent="0.25">
      <c r="A3" s="76" t="s">
        <v>8</v>
      </c>
      <c r="B3" s="77"/>
      <c r="C3" s="7" t="s">
        <v>1</v>
      </c>
      <c r="D3" s="7" t="s">
        <v>2</v>
      </c>
      <c r="F3" s="8" t="s">
        <v>42</v>
      </c>
      <c r="G3" s="8" t="s">
        <v>43</v>
      </c>
      <c r="H3" s="8" t="s">
        <v>9</v>
      </c>
    </row>
    <row r="4" spans="1:8" x14ac:dyDescent="0.25">
      <c r="A4" s="126"/>
      <c r="B4" s="127"/>
      <c r="C4" s="128"/>
      <c r="D4" s="129"/>
      <c r="F4" s="26" t="str">
        <f>IFERROR(SUMIFS(INDEX(data!$B$1:$T$46,1,MATCH($C4,data!$B$2:$T$2,0)):INDEX(data!$B$1:$T$46,46,MATCH($C4,data!$B$2:$T$2,0)),
data!$B$1:$B$46,RIGHT($A4,LEN($A4)-SEARCH(":",$A4)-1),
data!$D$1:$D$46,"BF Cash",data!$C$1:$C$46,LEFT($A4,SEARCH(":",$A4)-2)),"")</f>
        <v/>
      </c>
      <c r="G4" s="26" t="str">
        <f>IFERROR(D4*F4,"")</f>
        <v/>
      </c>
      <c r="H4" s="9" t="str">
        <f>IFERROR(SUMIFS(INDEX(data!$B$1:$T$46,1,MATCH($C4,data!$B$2:$T$2,0)):INDEX(data!$B$1:$T$46,46,MATCH($C4,data!$B$2:$T$2,0)),
data!$B$1:$B$46,RIGHT($A4,LEN($A4)-SEARCH(":",$A4)-1),
data!$D$1:$D$46,"BF Cash",data!$C$1:$C$46,LEFT($A4,SEARCH(":",$A4)-2))*$D4*
INDEX(data!$B$1:$T$46,MATCH("FTE_value",data!$D$1:$D46,0),MATCH($C4,data!$B$2:$T$2,0)),"")</f>
        <v/>
      </c>
    </row>
    <row r="5" spans="1:8" x14ac:dyDescent="0.25">
      <c r="A5" s="126"/>
      <c r="B5" s="127"/>
      <c r="C5" s="128"/>
      <c r="D5" s="129"/>
      <c r="F5" s="26" t="str">
        <f>IFERROR(SUMIFS(INDEX(data!$B$1:$T$46,1,MATCH($C5,data!$B$2:$T$2,0)):INDEX(data!$B$1:$T$46,46,MATCH($C5,data!$B$2:$T$2,0)),
data!$B$1:$B$46,RIGHT($A5,LEN($A5)-SEARCH(":",$A5)-1),
data!$D$1:$D$46,"BF Cash",data!$C$1:$C$46,LEFT($A5,SEARCH(":",$A5)-2)),"")</f>
        <v/>
      </c>
      <c r="G5" s="26" t="str">
        <f t="shared" ref="G5:G18" si="0">IFERROR(D5*F5,"")</f>
        <v/>
      </c>
      <c r="H5" s="9" t="str">
        <f>IFERROR(SUMIFS(INDEX(data!$B$1:$T$46,1,MATCH($C5,data!$B$2:$T$2,0)):INDEX(data!$B$1:$T$46,46,MATCH($C5,data!$B$2:$T$2,0)),
data!$B$1:$B$46,RIGHT($A5,LEN($A5)-SEARCH(":",$A5)-1),
data!$D$1:$D$46,"BF Cash",data!$C$1:$C$46,LEFT($A5,SEARCH(":",$A5)-2))*$D5*
INDEX(data!$B$1:$T$46,MATCH("FTE_value",data!$D$1:$D47,0),MATCH($C5,data!$B$2:$T$2,0)),"")</f>
        <v/>
      </c>
    </row>
    <row r="6" spans="1:8" x14ac:dyDescent="0.25">
      <c r="A6" s="126"/>
      <c r="B6" s="127"/>
      <c r="C6" s="128"/>
      <c r="D6" s="129"/>
      <c r="F6" s="26" t="str">
        <f>IFERROR(SUMIFS(INDEX(data!$B$1:$T$46,1,MATCH($C6,data!$B$2:$T$2,0)):INDEX(data!$B$1:$T$46,46,MATCH($C6,data!$B$2:$T$2,0)),
data!$B$1:$B$46,RIGHT($A6,LEN($A6)-SEARCH(":",$A6)-1),
data!$D$1:$D$46,"BF Cash",data!$C$1:$C$46,LEFT($A6,SEARCH(":",$A6)-2)),"")</f>
        <v/>
      </c>
      <c r="G6" s="26" t="str">
        <f t="shared" si="0"/>
        <v/>
      </c>
      <c r="H6" s="9" t="str">
        <f>IFERROR(SUMIFS(INDEX(data!$B$1:$T$46,1,MATCH($C6,data!$B$2:$T$2,0)):INDEX(data!$B$1:$T$46,46,MATCH($C6,data!$B$2:$T$2,0)),
data!$B$1:$B$46,RIGHT($A6,LEN($A6)-SEARCH(":",$A6)-1),
data!$D$1:$D$46,"BF Cash",data!$C$1:$C$46,LEFT($A6,SEARCH(":",$A6)-2))*$D6*
INDEX(data!$B$1:$T$46,MATCH("FTE_value",data!$D$1:$D48,0),MATCH($C6,data!$B$2:$T$2,0)),"")</f>
        <v/>
      </c>
    </row>
    <row r="7" spans="1:8" x14ac:dyDescent="0.25">
      <c r="A7" s="126"/>
      <c r="B7" s="127"/>
      <c r="C7" s="128"/>
      <c r="D7" s="129"/>
      <c r="F7" s="26" t="str">
        <f>IFERROR(SUMIFS(INDEX(data!$B$1:$T$46,1,MATCH($C7,data!$B$2:$T$2,0)):INDEX(data!$B$1:$T$46,46,MATCH($C7,data!$B$2:$T$2,0)),
data!$B$1:$B$46,RIGHT($A7,LEN($A7)-SEARCH(":",$A7)-1),
data!$D$1:$D$46,"BF Cash",data!$C$1:$C$46,LEFT($A7,SEARCH(":",$A7)-2)),"")</f>
        <v/>
      </c>
      <c r="G7" s="26" t="str">
        <f t="shared" si="0"/>
        <v/>
      </c>
      <c r="H7" s="9" t="str">
        <f>IFERROR(SUMIFS(INDEX(data!$B$1:$T$46,1,MATCH($C7,data!$B$2:$T$2,0)):INDEX(data!$B$1:$T$46,46,MATCH($C7,data!$B$2:$T$2,0)),
data!$B$1:$B$46,RIGHT($A7,LEN($A7)-SEARCH(":",$A7)-1),
data!$D$1:$D$46,"BF Cash",data!$C$1:$C$46,LEFT($A7,SEARCH(":",$A7)-2))*$D7*
INDEX(data!$B$1:$T$46,MATCH("FTE_value",data!$D$1:$D49,0),MATCH($C7,data!$B$2:$T$2,0)),"")</f>
        <v/>
      </c>
    </row>
    <row r="8" spans="1:8" x14ac:dyDescent="0.25">
      <c r="A8" s="126"/>
      <c r="B8" s="127"/>
      <c r="C8" s="128"/>
      <c r="D8" s="129"/>
      <c r="F8" s="26" t="str">
        <f>IFERROR(SUMIFS(INDEX(data!$B$1:$T$46,1,MATCH($C8,data!$B$2:$T$2,0)):INDEX(data!$B$1:$T$46,46,MATCH($C8,data!$B$2:$T$2,0)),
data!$B$1:$B$46,RIGHT($A8,LEN($A8)-SEARCH(":",$A8)-1),
data!$D$1:$D$46,"BF Cash",data!$C$1:$C$46,LEFT($A8,SEARCH(":",$A8)-2)),"")</f>
        <v/>
      </c>
      <c r="G8" s="26" t="str">
        <f t="shared" si="0"/>
        <v/>
      </c>
      <c r="H8" s="9" t="str">
        <f>IFERROR(SUMIFS(INDEX(data!$B$1:$T$46,1,MATCH($C8,data!$B$2:$T$2,0)):INDEX(data!$B$1:$T$46,46,MATCH($C8,data!$B$2:$T$2,0)),
data!$B$1:$B$46,RIGHT($A8,LEN($A8)-SEARCH(":",$A8)-1),
data!$D$1:$D$46,"BF Cash",data!$C$1:$C$46,LEFT($A8,SEARCH(":",$A8)-2))*$D8*
INDEX(data!$B$1:$T$46,MATCH("FTE_value",data!$D$1:$D50,0),MATCH($C8,data!$B$2:$T$2,0)),"")</f>
        <v/>
      </c>
    </row>
    <row r="9" spans="1:8" x14ac:dyDescent="0.25">
      <c r="A9" s="126"/>
      <c r="B9" s="127"/>
      <c r="C9" s="128"/>
      <c r="D9" s="129"/>
      <c r="F9" s="26" t="str">
        <f>IFERROR(SUMIFS(INDEX(data!$B$1:$T$46,1,MATCH($C9,data!$B$2:$T$2,0)):INDEX(data!$B$1:$T$46,46,MATCH($C9,data!$B$2:$T$2,0)),
data!$B$1:$B$46,RIGHT($A9,LEN($A9)-SEARCH(":",$A9)-1),
data!$D$1:$D$46,"BF Cash",data!$C$1:$C$46,LEFT($A9,SEARCH(":",$A9)-2)),"")</f>
        <v/>
      </c>
      <c r="G9" s="26" t="str">
        <f t="shared" si="0"/>
        <v/>
      </c>
      <c r="H9" s="9" t="str">
        <f>IFERROR(SUMIFS(INDEX(data!$B$1:$T$46,1,MATCH($C9,data!$B$2:$T$2,0)):INDEX(data!$B$1:$T$46,46,MATCH($C9,data!$B$2:$T$2,0)),
data!$B$1:$B$46,RIGHT($A9,LEN($A9)-SEARCH(":",$A9)-1),
data!$D$1:$D$46,"BF Cash",data!$C$1:$C$46,LEFT($A9,SEARCH(":",$A9)-2))*$D9*
INDEX(data!$B$1:$T$46,MATCH("FTE_value",data!$D$1:$D51,0),MATCH($C9,data!$B$2:$T$2,0)),"")</f>
        <v/>
      </c>
    </row>
    <row r="10" spans="1:8" x14ac:dyDescent="0.25">
      <c r="A10" s="126"/>
      <c r="B10" s="127"/>
      <c r="C10" s="128"/>
      <c r="D10" s="129"/>
      <c r="F10" s="26" t="str">
        <f>IFERROR(SUMIFS(INDEX(data!$B$1:$T$46,1,MATCH($C10,data!$B$2:$T$2,0)):INDEX(data!$B$1:$T$46,46,MATCH($C10,data!$B$2:$T$2,0)),
data!$B$1:$B$46,RIGHT($A10,LEN($A10)-SEARCH(":",$A10)-1),
data!$D$1:$D$46,"BF Cash",data!$C$1:$C$46,LEFT($A10,SEARCH(":",$A10)-2)),"")</f>
        <v/>
      </c>
      <c r="G10" s="26" t="str">
        <f t="shared" si="0"/>
        <v/>
      </c>
      <c r="H10" s="9" t="str">
        <f>IFERROR(SUMIFS(INDEX(data!$B$1:$T$46,1,MATCH($C10,data!$B$2:$T$2,0)):INDEX(data!$B$1:$T$46,46,MATCH($C10,data!$B$2:$T$2,0)),
data!$B$1:$B$46,RIGHT($A10,LEN($A10)-SEARCH(":",$A10)-1),
data!$D$1:$D$46,"BF Cash",data!$C$1:$C$46,LEFT($A10,SEARCH(":",$A10)-2))*$D10*
INDEX(data!$B$1:$T$46,MATCH("FTE_value",data!$D$1:$D52,0),MATCH($C10,data!$B$2:$T$2,0)),"")</f>
        <v/>
      </c>
    </row>
    <row r="11" spans="1:8" x14ac:dyDescent="0.25">
      <c r="A11" s="126"/>
      <c r="B11" s="127"/>
      <c r="C11" s="128"/>
      <c r="D11" s="129"/>
      <c r="F11" s="26" t="str">
        <f>IFERROR(SUMIFS(INDEX(data!$B$1:$T$46,1,MATCH($C11,data!$B$2:$T$2,0)):INDEX(data!$B$1:$T$46,46,MATCH($C11,data!$B$2:$T$2,0)),
data!$B$1:$B$46,RIGHT($A11,LEN($A11)-SEARCH(":",$A11)-1),
data!$D$1:$D$46,"BF Cash",data!$C$1:$C$46,LEFT($A11,SEARCH(":",$A11)-2)),"")</f>
        <v/>
      </c>
      <c r="G11" s="26" t="str">
        <f t="shared" si="0"/>
        <v/>
      </c>
      <c r="H11" s="9" t="str">
        <f>IFERROR(SUMIFS(INDEX(data!$B$1:$T$46,1,MATCH($C11,data!$B$2:$T$2,0)):INDEX(data!$B$1:$T$46,46,MATCH($C11,data!$B$2:$T$2,0)),
data!$B$1:$B$46,RIGHT($A11,LEN($A11)-SEARCH(":",$A11)-1),
data!$D$1:$D$46,"BF Cash",data!$C$1:$C$46,LEFT($A11,SEARCH(":",$A11)-2))*$D11*
INDEX(data!$B$1:$T$46,MATCH("FTE_value",data!$D$1:$D53,0),MATCH($C11,data!$B$2:$T$2,0)),"")</f>
        <v/>
      </c>
    </row>
    <row r="12" spans="1:8" x14ac:dyDescent="0.25">
      <c r="A12" s="126"/>
      <c r="B12" s="127"/>
      <c r="C12" s="128"/>
      <c r="D12" s="129"/>
      <c r="F12" s="26" t="str">
        <f>IFERROR(SUMIFS(INDEX(data!$B$1:$T$46,1,MATCH($C12,data!$B$2:$T$2,0)):INDEX(data!$B$1:$T$46,46,MATCH($C12,data!$B$2:$T$2,0)),
data!$B$1:$B$46,RIGHT($A12,LEN($A12)-SEARCH(":",$A12)-1),
data!$D$1:$D$46,"BF Cash",data!$C$1:$C$46,LEFT($A12,SEARCH(":",$A12)-2)),"")</f>
        <v/>
      </c>
      <c r="G12" s="26" t="str">
        <f t="shared" si="0"/>
        <v/>
      </c>
      <c r="H12" s="9" t="str">
        <f>IFERROR(SUMIFS(INDEX(data!$B$1:$T$46,1,MATCH($C12,data!$B$2:$T$2,0)):INDEX(data!$B$1:$T$46,46,MATCH($C12,data!$B$2:$T$2,0)),
data!$B$1:$B$46,RIGHT($A12,LEN($A12)-SEARCH(":",$A12)-1),
data!$D$1:$D$46,"BF Cash",data!$C$1:$C$46,LEFT($A12,SEARCH(":",$A12)-2))*$D12*
INDEX(data!$B$1:$T$46,MATCH("FTE_value",data!$D$1:$D54,0),MATCH($C12,data!$B$2:$T$2,0)),"")</f>
        <v/>
      </c>
    </row>
    <row r="13" spans="1:8" x14ac:dyDescent="0.25">
      <c r="A13" s="126"/>
      <c r="B13" s="127"/>
      <c r="C13" s="128"/>
      <c r="D13" s="129"/>
      <c r="F13" s="26" t="str">
        <f>IFERROR(SUMIFS(INDEX(data!$B$1:$T$46,1,MATCH($C13,data!$B$2:$T$2,0)):INDEX(data!$B$1:$T$46,46,MATCH($C13,data!$B$2:$T$2,0)),
data!$B$1:$B$46,RIGHT($A13,LEN($A13)-SEARCH(":",$A13)-1),
data!$D$1:$D$46,"BF Cash",data!$C$1:$C$46,LEFT($A13,SEARCH(":",$A13)-2)),"")</f>
        <v/>
      </c>
      <c r="G13" s="26" t="str">
        <f t="shared" si="0"/>
        <v/>
      </c>
      <c r="H13" s="9" t="str">
        <f>IFERROR(SUMIFS(INDEX(data!$B$1:$T$46,1,MATCH($C13,data!$B$2:$T$2,0)):INDEX(data!$B$1:$T$46,46,MATCH($C13,data!$B$2:$T$2,0)),
data!$B$1:$B$46,RIGHT($A13,LEN($A13)-SEARCH(":",$A13)-1),
data!$D$1:$D$46,"BF Cash",data!$C$1:$C$46,LEFT($A13,SEARCH(":",$A13)-2))*$D13*
INDEX(data!$B$1:$T$46,MATCH("FTE_value",data!$D$1:$D55,0),MATCH($C13,data!$B$2:$T$2,0)),"")</f>
        <v/>
      </c>
    </row>
    <row r="14" spans="1:8" x14ac:dyDescent="0.25">
      <c r="A14" s="126"/>
      <c r="B14" s="127"/>
      <c r="C14" s="128"/>
      <c r="D14" s="129"/>
      <c r="F14" s="26" t="str">
        <f>IFERROR(SUMIFS(INDEX(data!$B$1:$T$46,1,MATCH($C14,data!$B$2:$T$2,0)):INDEX(data!$B$1:$T$46,46,MATCH($C14,data!$B$2:$T$2,0)),
data!$B$1:$B$46,RIGHT($A14,LEN($A14)-SEARCH(":",$A14)-1),
data!$D$1:$D$46,"BF Cash",data!$C$1:$C$46,LEFT($A14,SEARCH(":",$A14)-2)),"")</f>
        <v/>
      </c>
      <c r="G14" s="26" t="str">
        <f t="shared" si="0"/>
        <v/>
      </c>
      <c r="H14" s="9" t="str">
        <f>IFERROR(SUMIFS(INDEX(data!$B$1:$T$46,1,MATCH($C14,data!$B$2:$T$2,0)):INDEX(data!$B$1:$T$46,46,MATCH($C14,data!$B$2:$T$2,0)),
data!$B$1:$B$46,RIGHT($A14,LEN($A14)-SEARCH(":",$A14)-1),
data!$D$1:$D$46,"BF Cash",data!$C$1:$C$46,LEFT($A14,SEARCH(":",$A14)-2))*$D14*
INDEX(data!$B$1:$T$46,MATCH("FTE_value",data!$D$1:$D56,0),MATCH($C14,data!$B$2:$T$2,0)),"")</f>
        <v/>
      </c>
    </row>
    <row r="15" spans="1:8" x14ac:dyDescent="0.25">
      <c r="A15" s="126"/>
      <c r="B15" s="127"/>
      <c r="C15" s="128"/>
      <c r="D15" s="129"/>
      <c r="F15" s="26" t="str">
        <f>IFERROR(SUMIFS(INDEX(data!$B$1:$T$46,1,MATCH($C15,data!$B$2:$T$2,0)):INDEX(data!$B$1:$T$46,46,MATCH($C15,data!$B$2:$T$2,0)),
data!$B$1:$B$46,RIGHT($A15,LEN($A15)-SEARCH(":",$A15)-1),
data!$D$1:$D$46,"BF Cash",data!$C$1:$C$46,LEFT($A15,SEARCH(":",$A15)-2)),"")</f>
        <v/>
      </c>
      <c r="G15" s="26" t="str">
        <f t="shared" si="0"/>
        <v/>
      </c>
      <c r="H15" s="9" t="str">
        <f>IFERROR(SUMIFS(INDEX(data!$B$1:$T$46,1,MATCH($C15,data!$B$2:$T$2,0)):INDEX(data!$B$1:$T$46,46,MATCH($C15,data!$B$2:$T$2,0)),
data!$B$1:$B$46,RIGHT($A15,LEN($A15)-SEARCH(":",$A15)-1),
data!$D$1:$D$46,"BF Cash",data!$C$1:$C$46,LEFT($A15,SEARCH(":",$A15)-2))*$D15*
INDEX(data!$B$1:$T$46,MATCH("FTE_value",data!$D$1:$D57,0),MATCH($C15,data!$B$2:$T$2,0)),"")</f>
        <v/>
      </c>
    </row>
    <row r="16" spans="1:8" x14ac:dyDescent="0.25">
      <c r="A16" s="126"/>
      <c r="B16" s="127"/>
      <c r="C16" s="128"/>
      <c r="D16" s="129"/>
      <c r="F16" s="26" t="str">
        <f>IFERROR(SUMIFS(INDEX(data!$B$1:$T$46,1,MATCH($C16,data!$B$2:$T$2,0)):INDEX(data!$B$1:$T$46,46,MATCH($C16,data!$B$2:$T$2,0)),
data!$B$1:$B$46,RIGHT($A16,LEN($A16)-SEARCH(":",$A16)-1),
data!$D$1:$D$46,"BF Cash",data!$C$1:$C$46,LEFT($A16,SEARCH(":",$A16)-2)),"")</f>
        <v/>
      </c>
      <c r="G16" s="26" t="str">
        <f t="shared" si="0"/>
        <v/>
      </c>
      <c r="H16" s="9" t="str">
        <f>IFERROR(SUMIFS(INDEX(data!$B$1:$T$46,1,MATCH($C16,data!$B$2:$T$2,0)):INDEX(data!$B$1:$T$46,46,MATCH($C16,data!$B$2:$T$2,0)),
data!$B$1:$B$46,RIGHT($A16,LEN($A16)-SEARCH(":",$A16)-1),
data!$D$1:$D$46,"BF Cash",data!$C$1:$C$46,LEFT($A16,SEARCH(":",$A16)-2))*$D16*
INDEX(data!$B$1:$T$46,MATCH("FTE_value",data!$D$1:$D58,0),MATCH($C16,data!$B$2:$T$2,0)),"")</f>
        <v/>
      </c>
    </row>
    <row r="17" spans="1:8" x14ac:dyDescent="0.25">
      <c r="A17" s="126"/>
      <c r="B17" s="127"/>
      <c r="C17" s="128"/>
      <c r="D17" s="129"/>
      <c r="F17" s="26" t="str">
        <f>IFERROR(SUMIFS(INDEX(data!$B$1:$T$46,1,MATCH($C17,data!$B$2:$T$2,0)):INDEX(data!$B$1:$T$46,46,MATCH($C17,data!$B$2:$T$2,0)),
data!$B$1:$B$46,RIGHT($A17,LEN($A17)-SEARCH(":",$A17)-1),
data!$D$1:$D$46,"BF Cash",data!$C$1:$C$46,LEFT($A17,SEARCH(":",$A17)-2)),"")</f>
        <v/>
      </c>
      <c r="G17" s="26" t="str">
        <f t="shared" si="0"/>
        <v/>
      </c>
      <c r="H17" s="9" t="str">
        <f>IFERROR(SUMIFS(INDEX(data!$B$1:$T$46,1,MATCH($C17,data!$B$2:$T$2,0)):INDEX(data!$B$1:$T$46,46,MATCH($C17,data!$B$2:$T$2,0)),
data!$B$1:$B$46,RIGHT($A17,LEN($A17)-SEARCH(":",$A17)-1),
data!$D$1:$D$46,"BF Cash",data!$C$1:$C$46,LEFT($A17,SEARCH(":",$A17)-2))*$D17*
INDEX(data!$B$1:$T$46,MATCH("FTE_value",data!$D$1:$D59,0),MATCH($C17,data!$B$2:$T$2,0)),"")</f>
        <v/>
      </c>
    </row>
    <row r="18" spans="1:8" x14ac:dyDescent="0.25">
      <c r="A18" s="126"/>
      <c r="B18" s="127"/>
      <c r="C18" s="128"/>
      <c r="D18" s="129"/>
      <c r="F18" s="26" t="str">
        <f>IFERROR(SUMIFS(INDEX(data!$B$1:$T$46,1,MATCH($C18,data!$B$2:$T$2,0)):INDEX(data!$B$1:$T$46,46,MATCH($C18,data!$B$2:$T$2,0)),
data!$B$1:$B$46,RIGHT($A18,LEN($A18)-SEARCH(":",$A18)-1),
data!$D$1:$D$46,"BF Cash",data!$C$1:$C$46,LEFT($A18,SEARCH(":",$A18)-2)),"")</f>
        <v/>
      </c>
      <c r="G18" s="26" t="str">
        <f t="shared" si="0"/>
        <v/>
      </c>
      <c r="H18" s="9" t="str">
        <f>IFERROR(SUMIFS(INDEX(data!$B$1:$T$46,1,MATCH($C18,data!$B$2:$T$2,0)):INDEX(data!$B$1:$T$46,46,MATCH($C18,data!$B$2:$T$2,0)),
data!$B$1:$B$46,RIGHT($A18,LEN($A18)-SEARCH(":",$A18)-1),
data!$D$1:$D$46,"BF Cash",data!$C$1:$C$46,LEFT($A18,SEARCH(":",$A18)-2))*$D18*
INDEX(data!$B$1:$T$46,MATCH("FTE_value",data!$D$1:$D60,0),MATCH($C18,data!$B$2:$T$2,0)),"")</f>
        <v/>
      </c>
    </row>
    <row r="19" spans="1:8" x14ac:dyDescent="0.25">
      <c r="B19" s="16"/>
      <c r="F19" s="27"/>
    </row>
    <row r="20" spans="1:8" x14ac:dyDescent="0.25">
      <c r="A20" s="15" t="s">
        <v>0</v>
      </c>
      <c r="B20" s="15"/>
      <c r="C20" s="15"/>
      <c r="D20" s="17">
        <f>SUM(D4:D18)</f>
        <v>0</v>
      </c>
      <c r="F20" s="28">
        <f>SUM(F4:F18)</f>
        <v>0</v>
      </c>
      <c r="G20" s="28">
        <f>SUM(G4:G18)</f>
        <v>0</v>
      </c>
      <c r="H20" s="18">
        <f>SUM(H4:H18)</f>
        <v>0</v>
      </c>
    </row>
    <row r="22" spans="1:8" x14ac:dyDescent="0.25">
      <c r="H22" s="29"/>
    </row>
  </sheetData>
  <sheetProtection algorithmName="SHA-512" hashValue="lXDa8rNvWZM8nBu7/Lm1LV/Z86tWfzSNgo1MtlgQt1oH9kZ/dX81zDC8MLsvxr8xJ38LekiSOsacc+7CVJusGA==" saltValue="BXT1cOsPDnqho8lUWyG2UA==" spinCount="100000" sheet="1" objects="1" scenarios="1"/>
  <mergeCells count="17">
    <mergeCell ref="A13:B13"/>
    <mergeCell ref="A1:H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B14"/>
    <mergeCell ref="A15:B15"/>
    <mergeCell ref="A16:B16"/>
    <mergeCell ref="A17:B17"/>
    <mergeCell ref="A18:B18"/>
  </mergeCells>
  <phoneticPr fontId="9" type="noConversion"/>
  <dataValidations count="3">
    <dataValidation type="decimal" allowBlank="1" showInputMessage="1" showErrorMessage="1" errorTitle="Entry error" error="Enter as a decimal the number of equivalent base experiments that will be used at this facility in the selected financial year" promptTitle="Number of experiments" prompt="Please enter as a decimal the number of equivalent base experiments that will be used at this facility in the selected financial year" sqref="D4:D18" xr:uid="{2549715A-0F24-417B-BA71-96AA021F5CD2}">
      <formula1>0</formula1>
      <formula2>50</formula2>
    </dataValidation>
    <dataValidation type="list" allowBlank="1" showInputMessage="1" showErrorMessage="1" errorTitle="Selection error" error="Select the Financial Year that the facility will be required" promptTitle="Financial Year" prompt="Please select the Financial Year that the facility will be required" sqref="C4:C18" xr:uid="{03E1F93B-C88A-4B24-94A9-5165BAAD484D}">
      <formula1>FFYears</formula1>
    </dataValidation>
    <dataValidation type="list" allowBlank="1" showInputMessage="1" showErrorMessage="1" errorTitle="Selection error" error="Please select location and facility type from the available list" promptTitle="Location / Facility type" prompt="Please select location and facility type from the available list" sqref="A4:B18" xr:uid="{67C17339-FA06-435C-9C0D-23DDD1DE9E27}">
      <formula1>Facilities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96"/>
  <sheetViews>
    <sheetView workbookViewId="0">
      <selection activeCell="J4" sqref="J4"/>
    </sheetView>
  </sheetViews>
  <sheetFormatPr defaultColWidth="8.85546875" defaultRowHeight="15" x14ac:dyDescent="0.25"/>
  <cols>
    <col min="1" max="1" width="2.85546875" customWidth="1"/>
    <col min="2" max="2" width="55.28515625" bestFit="1" customWidth="1"/>
    <col min="3" max="3" width="20.28515625" bestFit="1" customWidth="1"/>
    <col min="4" max="4" width="14.42578125" customWidth="1"/>
    <col min="5" max="5" width="2.140625" customWidth="1"/>
    <col min="6" max="6" width="13.7109375" hidden="1" customWidth="1"/>
    <col min="7" max="11" width="13.7109375" customWidth="1"/>
    <col min="12" max="19" width="13.7109375" hidden="1" customWidth="1"/>
    <col min="20" max="20" width="13.7109375" customWidth="1"/>
    <col min="22" max="25" width="12.28515625" bestFit="1" customWidth="1"/>
    <col min="26" max="28" width="9.7109375" bestFit="1" customWidth="1"/>
  </cols>
  <sheetData>
    <row r="1" spans="2:28" x14ac:dyDescent="0.25">
      <c r="B1" t="s">
        <v>3</v>
      </c>
      <c r="V1" s="24">
        <v>400000</v>
      </c>
      <c r="W1" s="24">
        <v>270000</v>
      </c>
      <c r="X1" s="24">
        <v>210000</v>
      </c>
      <c r="Y1" s="24">
        <v>170000</v>
      </c>
    </row>
    <row r="2" spans="2:28" ht="15.75" x14ac:dyDescent="0.3">
      <c r="B2" s="2" t="s">
        <v>6</v>
      </c>
      <c r="C2" s="2" t="s">
        <v>13</v>
      </c>
      <c r="D2" s="2" t="s">
        <v>7</v>
      </c>
      <c r="F2" s="1" t="s">
        <v>15</v>
      </c>
      <c r="G2" s="1" t="s">
        <v>16</v>
      </c>
      <c r="H2" s="1" t="s">
        <v>25</v>
      </c>
      <c r="I2" s="1" t="s">
        <v>106</v>
      </c>
      <c r="J2" s="1" t="s">
        <v>114</v>
      </c>
      <c r="K2" s="2"/>
      <c r="L2" s="1"/>
      <c r="M2" s="1"/>
      <c r="N2" s="1"/>
      <c r="O2" s="1"/>
      <c r="P2" s="1"/>
      <c r="Q2" s="1"/>
      <c r="R2" s="1"/>
      <c r="S2" s="1"/>
      <c r="T2" s="1"/>
      <c r="V2" t="s">
        <v>35</v>
      </c>
      <c r="W2" t="s">
        <v>36</v>
      </c>
      <c r="X2" t="s">
        <v>37</v>
      </c>
      <c r="Y2" t="s">
        <v>38</v>
      </c>
      <c r="Z2" t="s">
        <v>39</v>
      </c>
      <c r="AA2" t="s">
        <v>10</v>
      </c>
      <c r="AB2" t="s">
        <v>40</v>
      </c>
    </row>
    <row r="3" spans="2:28" ht="15" customHeight="1" x14ac:dyDescent="0.25"/>
    <row r="4" spans="2:28" x14ac:dyDescent="0.25">
      <c r="B4" s="19" t="s">
        <v>17</v>
      </c>
      <c r="C4" s="19" t="s">
        <v>4</v>
      </c>
      <c r="D4" s="19" t="s">
        <v>12</v>
      </c>
      <c r="E4" s="19"/>
      <c r="F4" s="20">
        <v>0.4</v>
      </c>
      <c r="G4" s="12">
        <f t="shared" ref="G4:J23" si="0">+F4</f>
        <v>0.4</v>
      </c>
      <c r="H4" s="12">
        <f t="shared" si="0"/>
        <v>0.4</v>
      </c>
      <c r="I4" s="12">
        <f t="shared" si="0"/>
        <v>0.4</v>
      </c>
      <c r="J4" s="12">
        <f t="shared" si="0"/>
        <v>0.4</v>
      </c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2:28" ht="15.75" customHeight="1" x14ac:dyDescent="0.25">
      <c r="B5" s="19" t="s">
        <v>17</v>
      </c>
      <c r="C5" s="19" t="s">
        <v>4</v>
      </c>
      <c r="D5" s="19" t="s">
        <v>11</v>
      </c>
      <c r="E5" s="19"/>
      <c r="F5" s="21">
        <f>0.015*270000+0.035*170000+11412</f>
        <v>21412</v>
      </c>
      <c r="G5" s="11">
        <f t="shared" si="0"/>
        <v>21412</v>
      </c>
      <c r="H5" s="11">
        <f t="shared" si="0"/>
        <v>21412</v>
      </c>
      <c r="I5" s="11">
        <f t="shared" si="0"/>
        <v>21412</v>
      </c>
      <c r="J5" s="11">
        <f t="shared" si="0"/>
        <v>21412</v>
      </c>
      <c r="K5" s="10"/>
      <c r="L5" s="10"/>
      <c r="M5" s="10"/>
      <c r="N5" s="10"/>
      <c r="O5" s="10"/>
      <c r="P5" s="10"/>
      <c r="Q5" s="10"/>
      <c r="R5" s="10"/>
      <c r="S5" s="10"/>
      <c r="T5" s="10"/>
      <c r="W5">
        <v>1.4999999999999999E-2</v>
      </c>
      <c r="Y5">
        <v>3.5000000000000003E-2</v>
      </c>
      <c r="Z5" s="25">
        <v>11412</v>
      </c>
      <c r="AA5" s="25">
        <f>SUMPRODUCT($V$1:$Y$1,V5:Y5)+Z5</f>
        <v>21412</v>
      </c>
      <c r="AB5" s="25">
        <f>AA5-F5</f>
        <v>0</v>
      </c>
    </row>
    <row r="6" spans="2:28" ht="15.75" customHeight="1" x14ac:dyDescent="0.25">
      <c r="B6" s="19" t="s">
        <v>18</v>
      </c>
      <c r="C6" s="19" t="s">
        <v>4</v>
      </c>
      <c r="D6" s="19" t="s">
        <v>12</v>
      </c>
      <c r="E6" s="19"/>
      <c r="F6" s="20">
        <v>0.5</v>
      </c>
      <c r="G6" s="12">
        <f t="shared" si="0"/>
        <v>0.5</v>
      </c>
      <c r="H6" s="12">
        <f t="shared" si="0"/>
        <v>0.5</v>
      </c>
      <c r="I6" s="12">
        <f t="shared" si="0"/>
        <v>0.5</v>
      </c>
      <c r="J6" s="12">
        <f t="shared" si="0"/>
        <v>0.5</v>
      </c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2:28" ht="15.75" customHeight="1" x14ac:dyDescent="0.25">
      <c r="B7" s="19" t="s">
        <v>18</v>
      </c>
      <c r="C7" s="19" t="s">
        <v>4</v>
      </c>
      <c r="D7" s="19" t="s">
        <v>11</v>
      </c>
      <c r="E7" s="19"/>
      <c r="F7" s="21">
        <f>0.015*270000+0.035*170000+22536</f>
        <v>32536</v>
      </c>
      <c r="G7" s="11">
        <f t="shared" si="0"/>
        <v>32536</v>
      </c>
      <c r="H7" s="11">
        <f t="shared" si="0"/>
        <v>32536</v>
      </c>
      <c r="I7" s="11">
        <f t="shared" si="0"/>
        <v>32536</v>
      </c>
      <c r="J7" s="11">
        <f t="shared" si="0"/>
        <v>32536</v>
      </c>
      <c r="K7" s="10"/>
      <c r="L7" s="10"/>
      <c r="M7" s="10"/>
      <c r="N7" s="10"/>
      <c r="O7" s="10"/>
      <c r="P7" s="10"/>
      <c r="Q7" s="10"/>
      <c r="R7" s="10"/>
      <c r="S7" s="10"/>
      <c r="T7" s="10"/>
      <c r="W7">
        <v>1.4999999999999999E-2</v>
      </c>
      <c r="Y7">
        <v>3.5000000000000003E-2</v>
      </c>
      <c r="Z7" s="25">
        <v>22536</v>
      </c>
      <c r="AA7" s="25">
        <f>SUMPRODUCT($V$1:$Y$1,V7:Y7)+Z7</f>
        <v>32536</v>
      </c>
      <c r="AB7" s="25">
        <f>AA7-F7</f>
        <v>0</v>
      </c>
    </row>
    <row r="8" spans="2:28" ht="15.75" customHeight="1" x14ac:dyDescent="0.3">
      <c r="B8" s="19" t="s">
        <v>19</v>
      </c>
      <c r="C8" s="19" t="s">
        <v>4</v>
      </c>
      <c r="D8" s="19" t="s">
        <v>12</v>
      </c>
      <c r="E8" s="19"/>
      <c r="F8" s="20">
        <v>0.25</v>
      </c>
      <c r="G8" s="30">
        <v>0.3</v>
      </c>
      <c r="H8" s="12">
        <f t="shared" si="0"/>
        <v>0.3</v>
      </c>
      <c r="I8" s="12">
        <f t="shared" si="0"/>
        <v>0.3</v>
      </c>
      <c r="J8" s="12">
        <f t="shared" si="0"/>
        <v>0.3</v>
      </c>
      <c r="K8" s="4"/>
      <c r="L8" s="4"/>
      <c r="M8" s="4"/>
      <c r="N8" s="4"/>
      <c r="O8" s="4"/>
      <c r="P8" s="4"/>
      <c r="Q8" s="4"/>
      <c r="R8" s="4"/>
      <c r="S8" s="4"/>
      <c r="T8" s="4"/>
      <c r="Z8" s="25"/>
    </row>
    <row r="9" spans="2:28" ht="15.75" customHeight="1" x14ac:dyDescent="0.25">
      <c r="B9" s="19" t="s">
        <v>19</v>
      </c>
      <c r="C9" s="19" t="s">
        <v>4</v>
      </c>
      <c r="D9" s="19" t="s">
        <v>11</v>
      </c>
      <c r="F9" s="21">
        <f>0.015*270000+0.035*170000+71425</f>
        <v>81425</v>
      </c>
      <c r="G9" s="11">
        <f t="shared" si="0"/>
        <v>81425</v>
      </c>
      <c r="H9" s="11">
        <f t="shared" si="0"/>
        <v>81425</v>
      </c>
      <c r="I9" s="11">
        <f t="shared" si="0"/>
        <v>81425</v>
      </c>
      <c r="J9" s="11">
        <f t="shared" si="0"/>
        <v>81425</v>
      </c>
      <c r="K9" s="10"/>
      <c r="L9" s="10"/>
      <c r="M9" s="10"/>
      <c r="N9" s="10"/>
      <c r="O9" s="10"/>
      <c r="P9" s="10"/>
      <c r="Q9" s="10"/>
      <c r="R9" s="10"/>
      <c r="S9" s="10"/>
      <c r="T9" s="10"/>
      <c r="W9">
        <v>1.4999999999999999E-2</v>
      </c>
      <c r="Y9">
        <v>3.5000000000000003E-2</v>
      </c>
      <c r="Z9" s="25">
        <v>71425</v>
      </c>
      <c r="AA9" s="25">
        <f>SUMPRODUCT($V$1:$Y$1,V9:Y9)+Z9</f>
        <v>81425</v>
      </c>
      <c r="AB9" s="25">
        <f>AA9-F9</f>
        <v>0</v>
      </c>
    </row>
    <row r="10" spans="2:28" x14ac:dyDescent="0.25">
      <c r="B10" s="19" t="s">
        <v>20</v>
      </c>
      <c r="C10" s="19" t="s">
        <v>4</v>
      </c>
      <c r="D10" s="19" t="s">
        <v>12</v>
      </c>
      <c r="E10" s="19"/>
      <c r="F10" s="20">
        <v>0.15</v>
      </c>
      <c r="G10" s="30">
        <v>0.25</v>
      </c>
      <c r="H10" s="12">
        <f t="shared" si="0"/>
        <v>0.25</v>
      </c>
      <c r="I10" s="12">
        <f t="shared" si="0"/>
        <v>0.25</v>
      </c>
      <c r="J10" s="12">
        <f t="shared" si="0"/>
        <v>0.25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Z10" s="25"/>
    </row>
    <row r="11" spans="2:28" ht="15.75" customHeight="1" x14ac:dyDescent="0.25">
      <c r="B11" s="19" t="s">
        <v>20</v>
      </c>
      <c r="C11" s="19" t="s">
        <v>4</v>
      </c>
      <c r="D11" s="19" t="s">
        <v>11</v>
      </c>
      <c r="F11" s="21">
        <f>0.015*270000+0.015*170000+1825</f>
        <v>8425</v>
      </c>
      <c r="G11" s="11">
        <f t="shared" si="0"/>
        <v>8425</v>
      </c>
      <c r="H11" s="11">
        <f t="shared" si="0"/>
        <v>8425</v>
      </c>
      <c r="I11" s="11">
        <f t="shared" si="0"/>
        <v>8425</v>
      </c>
      <c r="J11" s="11">
        <f t="shared" si="0"/>
        <v>8425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W11">
        <v>1.4999999999999999E-2</v>
      </c>
      <c r="Y11">
        <v>1.4999999999999999E-2</v>
      </c>
      <c r="Z11" s="25">
        <v>1825</v>
      </c>
      <c r="AA11" s="25">
        <f>SUMPRODUCT($V$1:$Y$1,V11:Y11)+Z11</f>
        <v>8425</v>
      </c>
      <c r="AB11" s="25">
        <f>AA11-F11</f>
        <v>0</v>
      </c>
    </row>
    <row r="12" spans="2:28" x14ac:dyDescent="0.25">
      <c r="B12" s="19" t="s">
        <v>21</v>
      </c>
      <c r="C12" s="19" t="s">
        <v>4</v>
      </c>
      <c r="D12" s="19" t="s">
        <v>12</v>
      </c>
      <c r="E12" s="19"/>
      <c r="F12" s="20">
        <v>0.25</v>
      </c>
      <c r="G12" s="12">
        <f t="shared" si="0"/>
        <v>0.25</v>
      </c>
      <c r="H12" s="12">
        <f t="shared" si="0"/>
        <v>0.25</v>
      </c>
      <c r="I12" s="12">
        <f t="shared" si="0"/>
        <v>0.25</v>
      </c>
      <c r="J12" s="12">
        <f t="shared" si="0"/>
        <v>0.25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Z12" s="25"/>
    </row>
    <row r="13" spans="2:28" ht="15.75" customHeight="1" x14ac:dyDescent="0.25">
      <c r="B13" s="19" t="s">
        <v>21</v>
      </c>
      <c r="C13" s="19" t="s">
        <v>4</v>
      </c>
      <c r="D13" s="19" t="s">
        <v>11</v>
      </c>
      <c r="F13" s="21">
        <f>0.015*270000+0.015*170000+22579</f>
        <v>29179</v>
      </c>
      <c r="G13" s="11">
        <f t="shared" si="0"/>
        <v>29179</v>
      </c>
      <c r="H13" s="11">
        <f t="shared" si="0"/>
        <v>29179</v>
      </c>
      <c r="I13" s="11">
        <f t="shared" si="0"/>
        <v>29179</v>
      </c>
      <c r="J13" s="11">
        <f t="shared" si="0"/>
        <v>29179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W13">
        <v>1.4999999999999999E-2</v>
      </c>
      <c r="Y13">
        <v>1.4999999999999999E-2</v>
      </c>
      <c r="Z13" s="25">
        <v>22579</v>
      </c>
      <c r="AA13" s="25">
        <f>SUMPRODUCT($V$1:$Y$1,V13:Y13)+Z13</f>
        <v>29179</v>
      </c>
      <c r="AB13" s="25">
        <f>AA13-F13</f>
        <v>0</v>
      </c>
    </row>
    <row r="14" spans="2:28" ht="15.75" x14ac:dyDescent="0.3">
      <c r="B14" s="19" t="s">
        <v>22</v>
      </c>
      <c r="C14" s="19" t="s">
        <v>4</v>
      </c>
      <c r="D14" s="19" t="s">
        <v>12</v>
      </c>
      <c r="E14" s="19"/>
      <c r="F14" s="20">
        <v>0.25</v>
      </c>
      <c r="G14" s="12">
        <f t="shared" si="0"/>
        <v>0.25</v>
      </c>
      <c r="H14" s="12">
        <f t="shared" si="0"/>
        <v>0.25</v>
      </c>
      <c r="I14" s="12">
        <f t="shared" si="0"/>
        <v>0.25</v>
      </c>
      <c r="J14" s="12">
        <f t="shared" si="0"/>
        <v>0.25</v>
      </c>
      <c r="K14" s="4"/>
      <c r="L14" s="4"/>
      <c r="M14" s="4"/>
      <c r="N14" s="4"/>
      <c r="O14" s="4"/>
      <c r="P14" s="4"/>
      <c r="Q14" s="4"/>
      <c r="R14" s="4"/>
      <c r="S14" s="4"/>
      <c r="T14" s="4"/>
      <c r="Z14" s="25"/>
    </row>
    <row r="15" spans="2:28" ht="15.75" customHeight="1" x14ac:dyDescent="0.25">
      <c r="B15" s="19" t="s">
        <v>22</v>
      </c>
      <c r="C15" s="19" t="s">
        <v>4</v>
      </c>
      <c r="D15" s="19" t="s">
        <v>11</v>
      </c>
      <c r="F15" s="21">
        <f>0.015*270000+0.015*170000+9450</f>
        <v>16050</v>
      </c>
      <c r="G15" s="11">
        <f t="shared" si="0"/>
        <v>16050</v>
      </c>
      <c r="H15" s="11">
        <f t="shared" si="0"/>
        <v>16050</v>
      </c>
      <c r="I15" s="11">
        <f t="shared" si="0"/>
        <v>16050</v>
      </c>
      <c r="J15" s="11">
        <f t="shared" si="0"/>
        <v>16050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W15">
        <v>1.4999999999999999E-2</v>
      </c>
      <c r="Y15">
        <v>1.4999999999999999E-2</v>
      </c>
      <c r="Z15" s="25">
        <v>9450</v>
      </c>
      <c r="AA15" s="25">
        <f>SUMPRODUCT($V$1:$Y$1,V15:Y15)+Z15</f>
        <v>16050</v>
      </c>
      <c r="AB15" s="25">
        <f>AA15-F15</f>
        <v>0</v>
      </c>
    </row>
    <row r="16" spans="2:28" ht="15.75" x14ac:dyDescent="0.3">
      <c r="B16" s="19" t="s">
        <v>23</v>
      </c>
      <c r="C16" s="19" t="s">
        <v>4</v>
      </c>
      <c r="D16" s="19" t="s">
        <v>12</v>
      </c>
      <c r="E16" s="19"/>
      <c r="F16" s="20">
        <v>0.4</v>
      </c>
      <c r="G16" s="12">
        <f t="shared" si="0"/>
        <v>0.4</v>
      </c>
      <c r="H16" s="12">
        <f t="shared" si="0"/>
        <v>0.4</v>
      </c>
      <c r="I16" s="12">
        <f t="shared" si="0"/>
        <v>0.4</v>
      </c>
      <c r="J16" s="12">
        <f t="shared" si="0"/>
        <v>0.4</v>
      </c>
      <c r="K16" s="4"/>
      <c r="L16" s="4"/>
      <c r="M16" s="4"/>
      <c r="N16" s="4"/>
      <c r="O16" s="4"/>
      <c r="P16" s="4"/>
      <c r="Q16" s="4"/>
      <c r="R16" s="4"/>
      <c r="S16" s="4"/>
      <c r="T16" s="4"/>
      <c r="Z16" s="25"/>
    </row>
    <row r="17" spans="2:28" ht="15.75" customHeight="1" x14ac:dyDescent="0.25">
      <c r="B17" s="19" t="s">
        <v>23</v>
      </c>
      <c r="C17" s="19" t="s">
        <v>4</v>
      </c>
      <c r="D17" s="19" t="s">
        <v>11</v>
      </c>
      <c r="F17" s="21">
        <f>0.015*270000+0.015*170000+141515</f>
        <v>148115</v>
      </c>
      <c r="G17" s="11">
        <f t="shared" si="0"/>
        <v>148115</v>
      </c>
      <c r="H17" s="11">
        <f t="shared" si="0"/>
        <v>148115</v>
      </c>
      <c r="I17" s="11">
        <f t="shared" si="0"/>
        <v>148115</v>
      </c>
      <c r="J17" s="11">
        <f t="shared" si="0"/>
        <v>148115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W17">
        <v>1.4999999999999999E-2</v>
      </c>
      <c r="Y17">
        <v>1.4999999999999999E-2</v>
      </c>
      <c r="Z17" s="25">
        <v>141515</v>
      </c>
      <c r="AA17" s="25">
        <f>SUMPRODUCT($V$1:$Y$1,V17:Y17)+Z17</f>
        <v>148115</v>
      </c>
      <c r="AB17" s="25">
        <f>AA17-F17</f>
        <v>0</v>
      </c>
    </row>
    <row r="18" spans="2:28" ht="15.75" customHeight="1" x14ac:dyDescent="0.3">
      <c r="B18" s="19" t="s">
        <v>24</v>
      </c>
      <c r="C18" s="19" t="s">
        <v>4</v>
      </c>
      <c r="D18" s="19" t="s">
        <v>12</v>
      </c>
      <c r="E18" s="19"/>
      <c r="F18" s="20">
        <v>0.5</v>
      </c>
      <c r="G18" s="12">
        <f t="shared" si="0"/>
        <v>0.5</v>
      </c>
      <c r="H18" s="12">
        <f t="shared" si="0"/>
        <v>0.5</v>
      </c>
      <c r="I18" s="12">
        <f t="shared" si="0"/>
        <v>0.5</v>
      </c>
      <c r="J18" s="12">
        <f t="shared" si="0"/>
        <v>0.5</v>
      </c>
      <c r="K18" s="4"/>
      <c r="L18" s="4"/>
      <c r="M18" s="4"/>
      <c r="N18" s="4"/>
      <c r="O18" s="4"/>
      <c r="P18" s="4"/>
      <c r="Q18" s="4"/>
      <c r="R18" s="4"/>
      <c r="S18" s="4"/>
      <c r="T18" s="4"/>
      <c r="Z18" s="25"/>
    </row>
    <row r="19" spans="2:28" ht="15.75" customHeight="1" x14ac:dyDescent="0.25">
      <c r="B19" s="19" t="s">
        <v>24</v>
      </c>
      <c r="C19" s="19" t="s">
        <v>4</v>
      </c>
      <c r="D19" s="19" t="s">
        <v>11</v>
      </c>
      <c r="F19" s="21">
        <f>0.015*270000+0.035*170000+0</f>
        <v>10000</v>
      </c>
      <c r="G19" s="11">
        <f t="shared" si="0"/>
        <v>10000</v>
      </c>
      <c r="H19" s="11">
        <f t="shared" si="0"/>
        <v>10000</v>
      </c>
      <c r="I19" s="11">
        <f t="shared" si="0"/>
        <v>10000</v>
      </c>
      <c r="J19" s="11">
        <f t="shared" si="0"/>
        <v>10000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W19">
        <v>1.4999999999999999E-2</v>
      </c>
      <c r="Y19">
        <v>3.5000000000000003E-2</v>
      </c>
      <c r="Z19" s="25">
        <v>0</v>
      </c>
      <c r="AA19" s="25">
        <f>SUMPRODUCT($V$1:$Y$1,V19:Y19)+Z19</f>
        <v>10000</v>
      </c>
      <c r="AB19" s="25">
        <f>AA19-F19</f>
        <v>0</v>
      </c>
    </row>
    <row r="20" spans="2:28" ht="15.75" customHeight="1" x14ac:dyDescent="0.3">
      <c r="B20" s="19" t="s">
        <v>27</v>
      </c>
      <c r="C20" s="19" t="s">
        <v>5</v>
      </c>
      <c r="D20" s="19" t="s">
        <v>12</v>
      </c>
      <c r="E20" s="19"/>
      <c r="F20" s="23">
        <v>0.3</v>
      </c>
      <c r="G20" s="14">
        <f t="shared" si="0"/>
        <v>0.3</v>
      </c>
      <c r="H20" s="14">
        <f t="shared" si="0"/>
        <v>0.3</v>
      </c>
      <c r="I20" s="14">
        <f t="shared" si="0"/>
        <v>0.3</v>
      </c>
      <c r="J20" s="14">
        <f t="shared" si="0"/>
        <v>0.3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Z20" s="25"/>
    </row>
    <row r="21" spans="2:28" ht="15.75" customHeight="1" x14ac:dyDescent="0.25">
      <c r="B21" s="19" t="s">
        <v>27</v>
      </c>
      <c r="C21" s="19" t="s">
        <v>5</v>
      </c>
      <c r="D21" s="19" t="s">
        <v>11</v>
      </c>
      <c r="F21" s="21">
        <f>0.2*270000+0.1*210000+0.05*170000+16000</f>
        <v>99500</v>
      </c>
      <c r="G21" s="11">
        <f t="shared" si="0"/>
        <v>99500</v>
      </c>
      <c r="H21" s="11">
        <f t="shared" si="0"/>
        <v>99500</v>
      </c>
      <c r="I21" s="11">
        <f t="shared" si="0"/>
        <v>99500</v>
      </c>
      <c r="J21" s="11">
        <f t="shared" si="0"/>
        <v>99500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W21">
        <v>0.2</v>
      </c>
      <c r="X21">
        <v>0.1</v>
      </c>
      <c r="Y21">
        <v>0.05</v>
      </c>
      <c r="Z21" s="25">
        <v>16000</v>
      </c>
      <c r="AA21" s="25">
        <f>SUMPRODUCT($V$1:$Y$1,V21:Y21)+Z21</f>
        <v>99500</v>
      </c>
      <c r="AB21" s="25">
        <f>AA21-F21</f>
        <v>0</v>
      </c>
    </row>
    <row r="22" spans="2:28" ht="15" customHeight="1" x14ac:dyDescent="0.3">
      <c r="B22" s="19" t="s">
        <v>32</v>
      </c>
      <c r="C22" s="19" t="s">
        <v>5</v>
      </c>
      <c r="D22" s="19" t="s">
        <v>12</v>
      </c>
      <c r="F22" s="23">
        <v>0.15</v>
      </c>
      <c r="G22" s="14">
        <f t="shared" si="0"/>
        <v>0.15</v>
      </c>
      <c r="H22" s="14">
        <f t="shared" si="0"/>
        <v>0.15</v>
      </c>
      <c r="I22" s="14">
        <f t="shared" si="0"/>
        <v>0.15</v>
      </c>
      <c r="J22" s="14">
        <f t="shared" si="0"/>
        <v>0.15</v>
      </c>
      <c r="K22" s="5"/>
      <c r="L22" s="5"/>
      <c r="M22" s="5"/>
      <c r="N22" s="5"/>
      <c r="O22" s="4"/>
      <c r="P22" s="4"/>
      <c r="Q22" s="4"/>
      <c r="R22" s="4"/>
      <c r="S22" s="4"/>
      <c r="T22" s="4"/>
      <c r="Z22" s="25"/>
    </row>
    <row r="23" spans="2:28" ht="15" customHeight="1" x14ac:dyDescent="0.25">
      <c r="B23" s="19" t="s">
        <v>32</v>
      </c>
      <c r="C23" s="19" t="s">
        <v>5</v>
      </c>
      <c r="D23" s="19" t="s">
        <v>11</v>
      </c>
      <c r="F23" s="21">
        <f>0.2*270000+0.1*210000+0.05*170000+32000</f>
        <v>115500</v>
      </c>
      <c r="G23" s="11">
        <f t="shared" si="0"/>
        <v>115500</v>
      </c>
      <c r="H23" s="11">
        <f t="shared" si="0"/>
        <v>115500</v>
      </c>
      <c r="I23" s="11">
        <f t="shared" si="0"/>
        <v>115500</v>
      </c>
      <c r="J23" s="11">
        <f t="shared" si="0"/>
        <v>115500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W23">
        <v>0.2</v>
      </c>
      <c r="X23">
        <v>0.1</v>
      </c>
      <c r="Y23">
        <v>0.05</v>
      </c>
      <c r="Z23" s="25">
        <v>32000</v>
      </c>
      <c r="AA23" s="25">
        <f>SUMPRODUCT($V$1:$Y$1,V23:Y23)+Z23</f>
        <v>115500</v>
      </c>
      <c r="AB23" s="25">
        <f>AA23-F23</f>
        <v>0</v>
      </c>
    </row>
    <row r="24" spans="2:28" ht="15" customHeight="1" x14ac:dyDescent="0.25">
      <c r="B24" s="19" t="s">
        <v>27</v>
      </c>
      <c r="C24" s="19" t="s">
        <v>26</v>
      </c>
      <c r="D24" s="19" t="s">
        <v>12</v>
      </c>
      <c r="E24" s="19"/>
      <c r="F24" s="22">
        <v>0.3</v>
      </c>
      <c r="G24" s="13">
        <f t="shared" ref="G24:J37" si="1">+F24</f>
        <v>0.3</v>
      </c>
      <c r="H24" s="13">
        <f t="shared" si="1"/>
        <v>0.3</v>
      </c>
      <c r="I24" s="13">
        <f t="shared" si="1"/>
        <v>0.3</v>
      </c>
      <c r="J24" s="13">
        <f t="shared" si="1"/>
        <v>0.3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Z24" s="25"/>
    </row>
    <row r="25" spans="2:28" x14ac:dyDescent="0.25">
      <c r="B25" s="19" t="s">
        <v>27</v>
      </c>
      <c r="C25" s="19" t="s">
        <v>26</v>
      </c>
      <c r="D25" s="19" t="s">
        <v>11</v>
      </c>
      <c r="F25" s="21">
        <f>0.05*270000+0.4*170000+13500</f>
        <v>95000</v>
      </c>
      <c r="G25" s="11">
        <f t="shared" si="1"/>
        <v>95000</v>
      </c>
      <c r="H25" s="11">
        <f t="shared" si="1"/>
        <v>95000</v>
      </c>
      <c r="I25" s="11">
        <f t="shared" si="1"/>
        <v>95000</v>
      </c>
      <c r="J25" s="11">
        <f t="shared" si="1"/>
        <v>95000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W25">
        <v>0.05</v>
      </c>
      <c r="Y25">
        <v>0.4</v>
      </c>
      <c r="Z25" s="25">
        <v>13500</v>
      </c>
      <c r="AA25" s="25">
        <f>SUMPRODUCT($V$1:$Y$1,V25:Y25)+Z25</f>
        <v>95000</v>
      </c>
      <c r="AB25" s="25">
        <f>AA25-F25</f>
        <v>0</v>
      </c>
    </row>
    <row r="26" spans="2:28" ht="15" customHeight="1" x14ac:dyDescent="0.3">
      <c r="B26" s="19" t="s">
        <v>33</v>
      </c>
      <c r="C26" s="19" t="s">
        <v>26</v>
      </c>
      <c r="D26" s="19" t="s">
        <v>12</v>
      </c>
      <c r="F26" s="22">
        <v>0.35</v>
      </c>
      <c r="G26" s="13">
        <f t="shared" si="1"/>
        <v>0.35</v>
      </c>
      <c r="H26" s="13">
        <f t="shared" si="1"/>
        <v>0.35</v>
      </c>
      <c r="I26" s="13">
        <f t="shared" si="1"/>
        <v>0.35</v>
      </c>
      <c r="J26" s="13">
        <f t="shared" si="1"/>
        <v>0.35</v>
      </c>
      <c r="K26" s="3"/>
      <c r="L26" s="3"/>
      <c r="M26" s="3"/>
      <c r="N26" s="3"/>
      <c r="O26" s="3"/>
      <c r="P26" s="3"/>
      <c r="Q26" s="3"/>
      <c r="R26" s="3"/>
      <c r="S26" s="3"/>
      <c r="T26" s="3"/>
      <c r="Z26" s="25"/>
    </row>
    <row r="27" spans="2:28" x14ac:dyDescent="0.25">
      <c r="B27" s="19" t="s">
        <v>33</v>
      </c>
      <c r="C27" s="19" t="s">
        <v>26</v>
      </c>
      <c r="D27" s="19" t="s">
        <v>11</v>
      </c>
      <c r="F27" s="21">
        <f>0.05*270000+0.4*170000+14940</f>
        <v>96440</v>
      </c>
      <c r="G27" s="11">
        <f t="shared" si="1"/>
        <v>96440</v>
      </c>
      <c r="H27" s="11">
        <f t="shared" si="1"/>
        <v>96440</v>
      </c>
      <c r="I27" s="11">
        <f t="shared" si="1"/>
        <v>96440</v>
      </c>
      <c r="J27" s="11">
        <f t="shared" si="1"/>
        <v>96440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W27">
        <v>0.05</v>
      </c>
      <c r="Y27">
        <v>0.4</v>
      </c>
      <c r="Z27" s="25">
        <v>14940</v>
      </c>
      <c r="AA27" s="25">
        <f>SUMPRODUCT($V$1:$Y$1,V27:Y27)+Z27</f>
        <v>96440</v>
      </c>
      <c r="AB27" s="25">
        <f>AA27-F27</f>
        <v>0</v>
      </c>
    </row>
    <row r="28" spans="2:28" ht="15" customHeight="1" x14ac:dyDescent="0.25">
      <c r="B28" s="19" t="s">
        <v>34</v>
      </c>
      <c r="C28" s="19" t="s">
        <v>26</v>
      </c>
      <c r="D28" s="19" t="s">
        <v>12</v>
      </c>
      <c r="F28" s="22">
        <v>0.2</v>
      </c>
      <c r="G28" s="13">
        <f t="shared" si="1"/>
        <v>0.2</v>
      </c>
      <c r="H28" s="13">
        <f t="shared" si="1"/>
        <v>0.2</v>
      </c>
      <c r="I28" s="13">
        <f t="shared" si="1"/>
        <v>0.2</v>
      </c>
      <c r="J28" s="13">
        <f t="shared" si="1"/>
        <v>0.2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Z28" s="25"/>
    </row>
    <row r="29" spans="2:28" ht="15" customHeight="1" x14ac:dyDescent="0.25">
      <c r="B29" s="19" t="s">
        <v>34</v>
      </c>
      <c r="C29" s="19" t="s">
        <v>26</v>
      </c>
      <c r="D29" s="19" t="s">
        <v>11</v>
      </c>
      <c r="F29" s="21">
        <f>0.05*270000+0.3*170000+26378</f>
        <v>90878</v>
      </c>
      <c r="G29" s="11">
        <f t="shared" si="1"/>
        <v>90878</v>
      </c>
      <c r="H29" s="11">
        <f t="shared" si="1"/>
        <v>90878</v>
      </c>
      <c r="I29" s="11">
        <f t="shared" si="1"/>
        <v>90878</v>
      </c>
      <c r="J29" s="11">
        <f t="shared" si="1"/>
        <v>90878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W29">
        <v>0.05</v>
      </c>
      <c r="Y29">
        <v>0.3</v>
      </c>
      <c r="Z29" s="25">
        <v>26378</v>
      </c>
      <c r="AA29" s="25">
        <f>SUMPRODUCT($V$1:$Y$1,V29:Y29)+Z29</f>
        <v>90878</v>
      </c>
      <c r="AB29" s="25">
        <f>AA29-F29</f>
        <v>0</v>
      </c>
    </row>
    <row r="30" spans="2:28" ht="15" customHeight="1" x14ac:dyDescent="0.25">
      <c r="B30" s="19" t="s">
        <v>28</v>
      </c>
      <c r="C30" s="19" t="s">
        <v>26</v>
      </c>
      <c r="D30" s="19" t="s">
        <v>12</v>
      </c>
      <c r="E30" s="19"/>
      <c r="F30" s="22">
        <v>0.25</v>
      </c>
      <c r="G30" s="13">
        <f t="shared" si="1"/>
        <v>0.25</v>
      </c>
      <c r="H30" s="13">
        <f t="shared" si="1"/>
        <v>0.25</v>
      </c>
      <c r="I30" s="13">
        <f t="shared" si="1"/>
        <v>0.25</v>
      </c>
      <c r="J30" s="13">
        <f t="shared" si="1"/>
        <v>0.25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Z30" s="25"/>
    </row>
    <row r="31" spans="2:28" ht="15" customHeight="1" x14ac:dyDescent="0.25">
      <c r="B31" s="19" t="s">
        <v>28</v>
      </c>
      <c r="C31" s="19" t="s">
        <v>26</v>
      </c>
      <c r="D31" s="19" t="s">
        <v>11</v>
      </c>
      <c r="F31" s="21">
        <f>0.05*270000+0.2*170000+3136</f>
        <v>50636</v>
      </c>
      <c r="G31" s="11">
        <f t="shared" si="1"/>
        <v>50636</v>
      </c>
      <c r="H31" s="11">
        <f t="shared" si="1"/>
        <v>50636</v>
      </c>
      <c r="I31" s="11">
        <f t="shared" si="1"/>
        <v>50636</v>
      </c>
      <c r="J31" s="11">
        <f t="shared" si="1"/>
        <v>50636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W31">
        <v>0.05</v>
      </c>
      <c r="Y31">
        <v>0.2</v>
      </c>
      <c r="Z31" s="25">
        <v>3136</v>
      </c>
      <c r="AA31" s="25">
        <f>SUMPRODUCT($V$1:$Y$1,V31:Y31)+Z31</f>
        <v>50636</v>
      </c>
      <c r="AB31" s="25">
        <f>AA31-F31</f>
        <v>0</v>
      </c>
    </row>
    <row r="32" spans="2:28" ht="15" customHeight="1" x14ac:dyDescent="0.3">
      <c r="B32" s="19" t="s">
        <v>29</v>
      </c>
      <c r="C32" s="19" t="s">
        <v>26</v>
      </c>
      <c r="D32" s="19" t="s">
        <v>12</v>
      </c>
      <c r="E32" s="19"/>
      <c r="F32" s="22">
        <v>0.17</v>
      </c>
      <c r="G32" s="13">
        <f t="shared" si="1"/>
        <v>0.17</v>
      </c>
      <c r="H32" s="13">
        <f t="shared" si="1"/>
        <v>0.17</v>
      </c>
      <c r="I32" s="13">
        <f t="shared" si="1"/>
        <v>0.17</v>
      </c>
      <c r="J32" s="13">
        <f t="shared" si="1"/>
        <v>0.17</v>
      </c>
      <c r="K32" s="4"/>
      <c r="L32" s="4"/>
      <c r="M32" s="4"/>
      <c r="N32" s="4"/>
      <c r="O32" s="4"/>
      <c r="P32" s="4"/>
      <c r="Q32" s="4"/>
      <c r="R32" s="4"/>
      <c r="S32" s="4"/>
      <c r="T32" s="4"/>
      <c r="Z32" s="25"/>
    </row>
    <row r="33" spans="2:28" x14ac:dyDescent="0.25">
      <c r="B33" s="19" t="s">
        <v>29</v>
      </c>
      <c r="C33" t="s">
        <v>26</v>
      </c>
      <c r="D33" s="19" t="s">
        <v>11</v>
      </c>
      <c r="F33" s="21">
        <f>0.05*270000+0.2*170000+5175</f>
        <v>52675</v>
      </c>
      <c r="G33" s="11">
        <f t="shared" si="1"/>
        <v>52675</v>
      </c>
      <c r="H33" s="11">
        <f t="shared" si="1"/>
        <v>52675</v>
      </c>
      <c r="I33" s="11">
        <f t="shared" si="1"/>
        <v>52675</v>
      </c>
      <c r="J33" s="11">
        <f t="shared" si="1"/>
        <v>52675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W33">
        <v>0.05</v>
      </c>
      <c r="Y33">
        <v>0.2</v>
      </c>
      <c r="Z33" s="25">
        <v>5175</v>
      </c>
      <c r="AA33" s="25">
        <f>SUMPRODUCT($V$1:$Y$1,V33:Y33)+Z33</f>
        <v>52675</v>
      </c>
      <c r="AB33" s="25">
        <f>AA33-F33</f>
        <v>0</v>
      </c>
    </row>
    <row r="34" spans="2:28" ht="15" customHeight="1" x14ac:dyDescent="0.3">
      <c r="B34" s="19" t="s">
        <v>30</v>
      </c>
      <c r="C34" s="19" t="s">
        <v>26</v>
      </c>
      <c r="D34" s="19" t="s">
        <v>12</v>
      </c>
      <c r="F34" s="22">
        <v>0.3</v>
      </c>
      <c r="G34" s="13">
        <f t="shared" si="1"/>
        <v>0.3</v>
      </c>
      <c r="H34" s="13">
        <f t="shared" si="1"/>
        <v>0.3</v>
      </c>
      <c r="I34" s="13">
        <f t="shared" si="1"/>
        <v>0.3</v>
      </c>
      <c r="J34" s="13">
        <f t="shared" si="1"/>
        <v>0.3</v>
      </c>
      <c r="K34" s="4"/>
      <c r="L34" s="4"/>
      <c r="M34" s="4"/>
      <c r="N34" s="4"/>
      <c r="O34" s="4"/>
      <c r="P34" s="4"/>
      <c r="Q34" s="4"/>
      <c r="R34" s="4"/>
      <c r="S34" s="4"/>
      <c r="T34" s="4"/>
      <c r="Z34" s="25"/>
    </row>
    <row r="35" spans="2:28" ht="15" customHeight="1" x14ac:dyDescent="0.25">
      <c r="B35" s="19" t="s">
        <v>30</v>
      </c>
      <c r="C35" s="19" t="s">
        <v>26</v>
      </c>
      <c r="D35" s="19" t="s">
        <v>11</v>
      </c>
      <c r="F35" s="21">
        <f>0.05*270000+0.3*170000+25200</f>
        <v>89700</v>
      </c>
      <c r="G35" s="11">
        <f t="shared" si="1"/>
        <v>89700</v>
      </c>
      <c r="H35" s="11">
        <f t="shared" si="1"/>
        <v>89700</v>
      </c>
      <c r="I35" s="11">
        <f t="shared" si="1"/>
        <v>89700</v>
      </c>
      <c r="J35" s="11">
        <f t="shared" si="1"/>
        <v>89700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W35">
        <v>0.05</v>
      </c>
      <c r="Y35">
        <v>0.3</v>
      </c>
      <c r="Z35" s="25">
        <v>25200</v>
      </c>
      <c r="AA35" s="25">
        <f>SUMPRODUCT($V$1:$Y$1,V35:Y35)+Z35</f>
        <v>89700</v>
      </c>
      <c r="AB35" s="25">
        <f>AA35-F35</f>
        <v>0</v>
      </c>
    </row>
    <row r="36" spans="2:28" ht="15" customHeight="1" x14ac:dyDescent="0.3">
      <c r="B36" s="19" t="s">
        <v>31</v>
      </c>
      <c r="C36" s="19" t="s">
        <v>26</v>
      </c>
      <c r="D36" s="19" t="s">
        <v>12</v>
      </c>
      <c r="E36" s="19"/>
      <c r="F36" s="20">
        <v>0.45</v>
      </c>
      <c r="G36" s="12">
        <f t="shared" si="1"/>
        <v>0.45</v>
      </c>
      <c r="H36" s="12">
        <f t="shared" si="1"/>
        <v>0.45</v>
      </c>
      <c r="I36" s="12">
        <f t="shared" si="1"/>
        <v>0.45</v>
      </c>
      <c r="J36" s="12">
        <f t="shared" si="1"/>
        <v>0.45</v>
      </c>
      <c r="K36" s="4"/>
      <c r="L36" s="4"/>
      <c r="M36" s="4"/>
      <c r="N36" s="4"/>
      <c r="O36" s="4"/>
      <c r="P36" s="4"/>
      <c r="Q36" s="4"/>
      <c r="R36" s="4"/>
      <c r="S36" s="4"/>
      <c r="T36" s="4"/>
      <c r="Z36" s="25"/>
    </row>
    <row r="37" spans="2:28" x14ac:dyDescent="0.25">
      <c r="B37" s="19" t="s">
        <v>31</v>
      </c>
      <c r="C37" s="19" t="s">
        <v>26</v>
      </c>
      <c r="D37" s="19" t="s">
        <v>11</v>
      </c>
      <c r="F37" s="21">
        <f>0.05*270000+0.15*210000+0.15*170000+707</f>
        <v>71207</v>
      </c>
      <c r="G37" s="11">
        <f t="shared" si="1"/>
        <v>71207</v>
      </c>
      <c r="H37" s="11">
        <f t="shared" si="1"/>
        <v>71207</v>
      </c>
      <c r="I37" s="11">
        <f t="shared" si="1"/>
        <v>71207</v>
      </c>
      <c r="J37" s="11">
        <f t="shared" si="1"/>
        <v>71207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W37">
        <v>0.05</v>
      </c>
      <c r="X37">
        <v>0.15</v>
      </c>
      <c r="Y37">
        <v>0.15</v>
      </c>
      <c r="Z37" s="25">
        <v>707</v>
      </c>
      <c r="AA37" s="25">
        <f>SUMPRODUCT($V$1:$Y$1,V37:Y37)+Z37</f>
        <v>71207</v>
      </c>
      <c r="AB37" s="25">
        <f>AA37-F37</f>
        <v>0</v>
      </c>
    </row>
    <row r="39" spans="2:28" x14ac:dyDescent="0.25">
      <c r="D39" s="19" t="s">
        <v>41</v>
      </c>
      <c r="F39" s="21">
        <v>80000</v>
      </c>
      <c r="G39" s="21">
        <v>88000</v>
      </c>
      <c r="H39" s="21">
        <v>88000</v>
      </c>
      <c r="I39" s="21">
        <v>88000</v>
      </c>
      <c r="J39" s="21">
        <v>88000</v>
      </c>
    </row>
    <row r="48" spans="2:28" x14ac:dyDescent="0.25">
      <c r="B48" s="19" t="s">
        <v>17</v>
      </c>
      <c r="C48" t="s">
        <v>4</v>
      </c>
      <c r="F48" t="str">
        <f t="shared" ref="F48:F57" si="2">C48&amp;" : "&amp;B48</f>
        <v>Rivalea : 1. Loose Farrowing and Lactation Studies - SWAP / Pig Safe / Group Lactation</v>
      </c>
    </row>
    <row r="49" spans="2:6" x14ac:dyDescent="0.25">
      <c r="B49" s="19" t="s">
        <v>18</v>
      </c>
      <c r="C49" t="s">
        <v>4</v>
      </c>
      <c r="F49" t="str">
        <f t="shared" si="2"/>
        <v>Rivalea : 2. Commercial Lactation Studies</v>
      </c>
    </row>
    <row r="50" spans="2:6" x14ac:dyDescent="0.25">
      <c r="B50" s="19" t="s">
        <v>19</v>
      </c>
      <c r="C50" t="s">
        <v>4</v>
      </c>
      <c r="F50" t="str">
        <f t="shared" si="2"/>
        <v>Rivalea : 3. Commercial gestating sow studies - Group pen or ESF</v>
      </c>
    </row>
    <row r="51" spans="2:6" x14ac:dyDescent="0.25">
      <c r="B51" s="19" t="s">
        <v>20</v>
      </c>
      <c r="C51" t="s">
        <v>4</v>
      </c>
      <c r="F51" t="str">
        <f t="shared" si="2"/>
        <v>Rivalea : 4. Weaner Discovery Facility - R&amp;I specialized facility</v>
      </c>
    </row>
    <row r="52" spans="2:6" x14ac:dyDescent="0.25">
      <c r="B52" s="19" t="s">
        <v>21</v>
      </c>
      <c r="C52" t="s">
        <v>4</v>
      </c>
      <c r="F52" t="str">
        <f t="shared" si="2"/>
        <v>Rivalea : 5. Weaner Studies - Commercial pens</v>
      </c>
    </row>
    <row r="53" spans="2:6" x14ac:dyDescent="0.25">
      <c r="B53" s="19" t="s">
        <v>22</v>
      </c>
      <c r="C53" t="s">
        <v>4</v>
      </c>
      <c r="F53" t="str">
        <f t="shared" si="2"/>
        <v>Rivalea : 6. Grower Finisher: Individual - R&amp;I specialized facility</v>
      </c>
    </row>
    <row r="54" spans="2:6" x14ac:dyDescent="0.25">
      <c r="B54" s="19" t="s">
        <v>23</v>
      </c>
      <c r="C54" t="s">
        <v>4</v>
      </c>
      <c r="F54" t="str">
        <f t="shared" si="2"/>
        <v>Rivalea : 7. Grower Finisher: Commercial or Big Dutchman - Nutritional evaluations</v>
      </c>
    </row>
    <row r="55" spans="2:6" x14ac:dyDescent="0.25">
      <c r="B55" s="19" t="s">
        <v>24</v>
      </c>
      <c r="C55" t="s">
        <v>4</v>
      </c>
      <c r="F55" t="str">
        <f t="shared" si="2"/>
        <v>Rivalea : 8. Meat Science and Quality</v>
      </c>
    </row>
    <row r="56" spans="2:6" x14ac:dyDescent="0.25">
      <c r="B56" s="19" t="s">
        <v>27</v>
      </c>
      <c r="C56" t="s">
        <v>5</v>
      </c>
      <c r="F56" t="str">
        <f t="shared" si="2"/>
        <v>Roseworthy : 1. Sow Model - Lactating studies, Farrowing house</v>
      </c>
    </row>
    <row r="57" spans="2:6" x14ac:dyDescent="0.25">
      <c r="B57" s="19" t="s">
        <v>32</v>
      </c>
      <c r="C57" t="s">
        <v>5</v>
      </c>
      <c r="F57" t="str">
        <f t="shared" si="2"/>
        <v>Roseworthy : 2. Sow model - Group pen gestating</v>
      </c>
    </row>
    <row r="58" spans="2:6" x14ac:dyDescent="0.25">
      <c r="B58" s="19" t="s">
        <v>27</v>
      </c>
      <c r="C58" t="s">
        <v>26</v>
      </c>
      <c r="F58" t="str">
        <f t="shared" ref="F58:F64" si="3">C58&amp;" : "&amp;B58</f>
        <v>SunPork : 1. Sow Model - Lactating studies, Farrowing house</v>
      </c>
    </row>
    <row r="59" spans="2:6" x14ac:dyDescent="0.25">
      <c r="B59" s="19" t="s">
        <v>33</v>
      </c>
      <c r="C59" t="s">
        <v>26</v>
      </c>
      <c r="F59" t="str">
        <f t="shared" si="3"/>
        <v>SunPork : 2. Sow Model - Free movement farrowing crates</v>
      </c>
    </row>
    <row r="60" spans="2:6" x14ac:dyDescent="0.25">
      <c r="B60" s="19" t="s">
        <v>34</v>
      </c>
      <c r="C60" t="s">
        <v>26</v>
      </c>
      <c r="F60" t="str">
        <f t="shared" si="3"/>
        <v>SunPork : 3. Sow Model - Group pen gestating, ESF</v>
      </c>
    </row>
    <row r="61" spans="2:6" x14ac:dyDescent="0.25">
      <c r="B61" s="19" t="s">
        <v>28</v>
      </c>
      <c r="C61" t="s">
        <v>26</v>
      </c>
      <c r="F61" t="str">
        <f t="shared" si="3"/>
        <v>SunPork : 4. Weaner Model - Group</v>
      </c>
    </row>
    <row r="62" spans="2:6" x14ac:dyDescent="0.25">
      <c r="B62" s="19" t="s">
        <v>29</v>
      </c>
      <c r="C62" t="s">
        <v>26</v>
      </c>
      <c r="F62" t="str">
        <f t="shared" si="3"/>
        <v>SunPork : 5. Grower Finisher Model - Group Pen, Westbrook</v>
      </c>
    </row>
    <row r="63" spans="2:6" x14ac:dyDescent="0.25">
      <c r="B63" s="19" t="s">
        <v>30</v>
      </c>
      <c r="C63" t="s">
        <v>26</v>
      </c>
      <c r="F63" t="str">
        <f t="shared" ref="F63" si="4">C63&amp;" : "&amp;B63</f>
        <v>SunPork : 6. Grower Finisher Model - Group Pen, Brinkley</v>
      </c>
    </row>
    <row r="64" spans="2:6" x14ac:dyDescent="0.25">
      <c r="B64" s="19" t="s">
        <v>31</v>
      </c>
      <c r="C64" t="s">
        <v>26</v>
      </c>
      <c r="F64" t="str">
        <f t="shared" si="3"/>
        <v>SunPork : 7. Meat carcase and quality assessment</v>
      </c>
    </row>
    <row r="79" spans="2:3" x14ac:dyDescent="0.25">
      <c r="B79" s="31" t="s">
        <v>44</v>
      </c>
      <c r="C79" s="31" t="s">
        <v>86</v>
      </c>
    </row>
    <row r="80" spans="2:3" x14ac:dyDescent="0.25">
      <c r="B80" t="s">
        <v>107</v>
      </c>
      <c r="C80" s="32">
        <v>0.25</v>
      </c>
    </row>
    <row r="81" spans="2:10" x14ac:dyDescent="0.25">
      <c r="B81" t="s">
        <v>46</v>
      </c>
      <c r="C81" s="32">
        <v>0.5</v>
      </c>
    </row>
    <row r="82" spans="2:10" x14ac:dyDescent="0.25">
      <c r="B82" t="s">
        <v>47</v>
      </c>
      <c r="C82" s="32">
        <v>0.2</v>
      </c>
    </row>
    <row r="84" spans="2:10" x14ac:dyDescent="0.25">
      <c r="C84" s="31" t="s">
        <v>48</v>
      </c>
      <c r="D84" s="31" t="s">
        <v>49</v>
      </c>
      <c r="I84" s="31" t="s">
        <v>48</v>
      </c>
      <c r="J84" s="31" t="s">
        <v>49</v>
      </c>
    </row>
    <row r="85" spans="2:10" x14ac:dyDescent="0.25">
      <c r="B85" t="s">
        <v>111</v>
      </c>
      <c r="C85" s="32">
        <v>0</v>
      </c>
      <c r="D85" s="32">
        <v>1</v>
      </c>
      <c r="I85" s="32">
        <v>0</v>
      </c>
      <c r="J85" s="32">
        <v>0</v>
      </c>
    </row>
    <row r="86" spans="2:10" x14ac:dyDescent="0.25">
      <c r="B86" t="s">
        <v>108</v>
      </c>
      <c r="C86" s="32">
        <v>0.15</v>
      </c>
      <c r="D86" s="32">
        <v>1</v>
      </c>
      <c r="I86" s="32">
        <v>0.15</v>
      </c>
      <c r="J86" s="32">
        <v>0.25</v>
      </c>
    </row>
    <row r="87" spans="2:10" x14ac:dyDescent="0.25">
      <c r="B87" t="s">
        <v>109</v>
      </c>
      <c r="C87" s="32">
        <v>0.2</v>
      </c>
      <c r="D87" s="32">
        <v>1</v>
      </c>
      <c r="I87" s="32">
        <v>0.2</v>
      </c>
      <c r="J87" s="32">
        <v>0.5</v>
      </c>
    </row>
    <row r="88" spans="2:10" x14ac:dyDescent="0.25">
      <c r="B88" t="s">
        <v>110</v>
      </c>
      <c r="C88" s="32">
        <v>0.5</v>
      </c>
      <c r="D88" s="32">
        <v>1</v>
      </c>
      <c r="I88" s="32">
        <v>0.25</v>
      </c>
      <c r="J88" s="32">
        <v>1</v>
      </c>
    </row>
    <row r="89" spans="2:10" x14ac:dyDescent="0.25">
      <c r="B89" t="s">
        <v>78</v>
      </c>
      <c r="C89" s="32">
        <v>0.1</v>
      </c>
      <c r="D89" s="32">
        <v>1</v>
      </c>
      <c r="I89" s="32">
        <v>0.2</v>
      </c>
      <c r="J89" s="32">
        <v>0</v>
      </c>
    </row>
    <row r="90" spans="2:10" x14ac:dyDescent="0.25">
      <c r="B90" t="s">
        <v>79</v>
      </c>
      <c r="C90" s="32">
        <v>0.15</v>
      </c>
      <c r="D90" s="32">
        <v>1</v>
      </c>
      <c r="I90" s="32">
        <v>0.3</v>
      </c>
      <c r="J90" s="32">
        <v>0.25</v>
      </c>
    </row>
    <row r="91" spans="2:10" x14ac:dyDescent="0.25">
      <c r="B91" t="s">
        <v>80</v>
      </c>
      <c r="C91" s="32">
        <v>0.2</v>
      </c>
      <c r="D91" s="32">
        <v>1</v>
      </c>
      <c r="I91" s="32">
        <v>0.4</v>
      </c>
      <c r="J91" s="32">
        <v>0.5</v>
      </c>
    </row>
    <row r="92" spans="2:10" x14ac:dyDescent="0.25">
      <c r="B92" t="s">
        <v>77</v>
      </c>
      <c r="C92" s="32">
        <v>0.5</v>
      </c>
      <c r="D92" s="32">
        <v>1</v>
      </c>
      <c r="I92" s="32">
        <v>0.5</v>
      </c>
      <c r="J92" s="32">
        <v>1</v>
      </c>
    </row>
    <row r="93" spans="2:10" x14ac:dyDescent="0.25">
      <c r="B93" t="s">
        <v>81</v>
      </c>
      <c r="C93" s="32">
        <v>0.1</v>
      </c>
      <c r="D93" s="32">
        <v>1</v>
      </c>
      <c r="I93" s="32">
        <v>0.1</v>
      </c>
      <c r="J93" s="32">
        <v>0</v>
      </c>
    </row>
    <row r="94" spans="2:10" x14ac:dyDescent="0.25">
      <c r="B94" t="s">
        <v>82</v>
      </c>
      <c r="C94" s="32">
        <v>0.15</v>
      </c>
      <c r="D94" s="32">
        <v>1</v>
      </c>
      <c r="I94" s="32">
        <v>0.15</v>
      </c>
      <c r="J94" s="32">
        <v>0.25</v>
      </c>
    </row>
    <row r="95" spans="2:10" x14ac:dyDescent="0.25">
      <c r="B95" t="s">
        <v>83</v>
      </c>
      <c r="C95" s="32">
        <v>0.2</v>
      </c>
      <c r="D95" s="32">
        <v>1</v>
      </c>
      <c r="I95" s="32">
        <v>0.2</v>
      </c>
      <c r="J95" s="32">
        <v>0.5</v>
      </c>
    </row>
    <row r="96" spans="2:10" x14ac:dyDescent="0.25">
      <c r="B96" t="s">
        <v>84</v>
      </c>
      <c r="C96" s="32">
        <v>0.5</v>
      </c>
      <c r="D96" s="32">
        <v>1</v>
      </c>
      <c r="I96" s="32">
        <v>0.25</v>
      </c>
      <c r="J96" s="32">
        <v>1</v>
      </c>
    </row>
  </sheetData>
  <autoFilter ref="B2:D37" xr:uid="{00000000-0001-0000-0300-000000000000}"/>
  <sortState xmlns:xlrd2="http://schemas.microsoft.com/office/spreadsheetml/2017/richdata2" ref="B4:T37">
    <sortCondition ref="C4:C37"/>
    <sortCondition ref="B4:B37"/>
  </sortState>
  <phoneticPr fontId="9" type="noConversion"/>
  <conditionalFormatting sqref="F39:J39">
    <cfRule type="cellIs" dxfId="1" priority="1" operator="equal">
      <formula>0</formula>
    </cfRule>
  </conditionalFormatting>
  <conditionalFormatting sqref="F4:T37">
    <cfRule type="cellIs" dxfId="0" priority="3" operator="equal">
      <formula>0</formula>
    </cfRule>
  </conditionalFormatting>
  <dataValidations count="2">
    <dataValidation type="list" allowBlank="1" showInputMessage="1" showErrorMessage="1" sqref="D1 D40:D48 D4:D38 D53:D78 J92 D97:D1048576 J96 J88" xr:uid="{00000000-0002-0000-0300-000000000000}">
      <formula1>FTE_Category</formula1>
    </dataValidation>
    <dataValidation type="list" allowBlank="1" showInputMessage="1" showErrorMessage="1" sqref="C38:C47 C1:C3 D2:D3 C65:C78 I88:I96 E1:E1048576 C88:C1048576" xr:uid="{00000000-0002-0000-0300-000001000000}">
      <formula1>Budget_Type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0C3C4-D363-415D-B227-034A519356E3}">
  <sheetPr codeName="Sheet7"/>
  <dimension ref="A1:S56"/>
  <sheetViews>
    <sheetView zoomScale="130" zoomScaleNormal="130" workbookViewId="0">
      <selection activeCell="B2" sqref="B2"/>
    </sheetView>
  </sheetViews>
  <sheetFormatPr defaultColWidth="8.85546875" defaultRowHeight="15" x14ac:dyDescent="0.25"/>
  <cols>
    <col min="2" max="2" width="9.85546875" bestFit="1" customWidth="1"/>
    <col min="7" max="7" width="14" bestFit="1" customWidth="1"/>
    <col min="8" max="8" width="1.85546875" customWidth="1"/>
    <col min="11" max="11" width="8.7109375" bestFit="1" customWidth="1"/>
  </cols>
  <sheetData>
    <row r="1" spans="1:19" ht="15.75" thickBot="1" x14ac:dyDescent="0.3">
      <c r="N1" s="6">
        <f>COUNTIF(I15:I56,4)</f>
        <v>31</v>
      </c>
      <c r="O1">
        <f>FACT(S1+S2-1)/(FACT(S2)*FACT(S1-1))</f>
        <v>35</v>
      </c>
      <c r="P1" t="s">
        <v>95</v>
      </c>
      <c r="R1" t="s">
        <v>97</v>
      </c>
      <c r="S1">
        <v>4</v>
      </c>
    </row>
    <row r="2" spans="1:19" ht="15.75" thickBot="1" x14ac:dyDescent="0.3">
      <c r="A2" t="s">
        <v>94</v>
      </c>
      <c r="B2" s="34" t="s">
        <v>45</v>
      </c>
      <c r="D2" s="32" t="e">
        <f>VLOOKUP(D$3&amp;" "&amp;$B$2,data!$B$84:$C$96,2,FALSE)</f>
        <v>#N/A</v>
      </c>
      <c r="E2" s="32" t="e">
        <f>VLOOKUP(E$3&amp;" "&amp;$B$2,data!$B$84:$C$96,2,FALSE)</f>
        <v>#N/A</v>
      </c>
      <c r="F2" s="32" t="e">
        <f>VLOOKUP(F$3&amp;" "&amp;$B$2,data!$B$84:$C$96,2,FALSE)</f>
        <v>#N/A</v>
      </c>
      <c r="G2" s="32" t="e">
        <f>VLOOKUP(G$3&amp;" "&amp;$B$2,data!$B$84:$C$96,2,FALSE)</f>
        <v>#N/A</v>
      </c>
      <c r="P2" t="s">
        <v>96</v>
      </c>
      <c r="R2" t="s">
        <v>98</v>
      </c>
      <c r="S2">
        <v>4</v>
      </c>
    </row>
    <row r="3" spans="1:19" x14ac:dyDescent="0.25">
      <c r="D3" t="s">
        <v>50</v>
      </c>
      <c r="E3" t="s">
        <v>51</v>
      </c>
      <c r="F3" t="s">
        <v>52</v>
      </c>
      <c r="G3" t="s">
        <v>53</v>
      </c>
      <c r="I3" t="s">
        <v>10</v>
      </c>
      <c r="J3" t="s">
        <v>93</v>
      </c>
    </row>
    <row r="4" spans="1:19" s="6" customFormat="1" x14ac:dyDescent="0.25">
      <c r="D4" s="6">
        <v>0</v>
      </c>
      <c r="E4" s="6">
        <v>0</v>
      </c>
      <c r="F4" s="6">
        <v>1</v>
      </c>
      <c r="G4" s="6">
        <v>2</v>
      </c>
      <c r="I4" s="6">
        <f t="shared" ref="I4:I35" si="0">SUM(D4:H4)</f>
        <v>3</v>
      </c>
      <c r="J4" s="60" t="e" cm="1">
        <f t="array" ref="J4">SUM(D4:G4*$D$2:$G$2)/I4</f>
        <v>#N/A</v>
      </c>
      <c r="K4" s="6" t="str">
        <f t="shared" ref="K4:K35" si="1">_xlfn.TEXTJOIN(";",,D4:I4)</f>
        <v>0;0;1;2;3</v>
      </c>
      <c r="L4" s="6">
        <f t="shared" ref="L4:L35" si="2">COUNTIF($K$4:$K$84,K4)</f>
        <v>1</v>
      </c>
    </row>
    <row r="5" spans="1:19" s="6" customFormat="1" x14ac:dyDescent="0.25">
      <c r="D5" s="6">
        <v>0</v>
      </c>
      <c r="E5" s="6">
        <v>1</v>
      </c>
      <c r="F5" s="6">
        <v>0</v>
      </c>
      <c r="G5" s="6">
        <v>2</v>
      </c>
      <c r="I5" s="6">
        <f t="shared" si="0"/>
        <v>3</v>
      </c>
      <c r="J5" s="60" t="e" cm="1">
        <f t="array" ref="J5">SUM(D5:G5*$D$2:$G$2)/I5</f>
        <v>#N/A</v>
      </c>
      <c r="K5" s="6" t="str">
        <f t="shared" si="1"/>
        <v>0;1;0;2;3</v>
      </c>
      <c r="L5" s="6">
        <f t="shared" si="2"/>
        <v>1</v>
      </c>
    </row>
    <row r="6" spans="1:19" s="6" customFormat="1" x14ac:dyDescent="0.25">
      <c r="D6" s="6">
        <v>0</v>
      </c>
      <c r="E6" s="6">
        <v>0</v>
      </c>
      <c r="F6" s="6">
        <v>1</v>
      </c>
      <c r="G6" s="6">
        <v>1</v>
      </c>
      <c r="I6" s="6">
        <f t="shared" si="0"/>
        <v>2</v>
      </c>
      <c r="J6" s="32" t="e" cm="1">
        <f t="array" ref="J6">SUM(D6:G6*$D$2:$G$2)/I6</f>
        <v>#N/A</v>
      </c>
      <c r="K6" s="6" t="str">
        <f t="shared" si="1"/>
        <v>0;0;1;1;2</v>
      </c>
      <c r="L6" s="6">
        <f t="shared" si="2"/>
        <v>1</v>
      </c>
    </row>
    <row r="7" spans="1:19" s="6" customFormat="1" x14ac:dyDescent="0.25">
      <c r="D7" s="6">
        <v>1</v>
      </c>
      <c r="E7" s="6">
        <v>0</v>
      </c>
      <c r="F7" s="6">
        <v>0</v>
      </c>
      <c r="G7" s="6">
        <v>2</v>
      </c>
      <c r="I7" s="6">
        <f t="shared" si="0"/>
        <v>3</v>
      </c>
      <c r="J7" s="60" t="e" cm="1">
        <f t="array" ref="J7">SUM(D7:G7*$D$2:$G$2)/I7</f>
        <v>#N/A</v>
      </c>
      <c r="K7" s="6" t="str">
        <f t="shared" si="1"/>
        <v>1;0;0;2;3</v>
      </c>
      <c r="L7" s="6">
        <f t="shared" si="2"/>
        <v>1</v>
      </c>
    </row>
    <row r="8" spans="1:19" s="6" customFormat="1" x14ac:dyDescent="0.25">
      <c r="D8" s="6">
        <v>0</v>
      </c>
      <c r="E8" s="6">
        <v>1</v>
      </c>
      <c r="F8" s="6">
        <v>0</v>
      </c>
      <c r="G8" s="6">
        <v>1</v>
      </c>
      <c r="I8" s="6">
        <f t="shared" si="0"/>
        <v>2</v>
      </c>
      <c r="J8" s="32" t="e" cm="1">
        <f t="array" ref="J8">SUM(D8:G8*$D$2:$G$2)/I8</f>
        <v>#N/A</v>
      </c>
      <c r="K8" s="6" t="str">
        <f t="shared" si="1"/>
        <v>0;1;0;1;2</v>
      </c>
      <c r="L8" s="6">
        <f t="shared" si="2"/>
        <v>1</v>
      </c>
    </row>
    <row r="9" spans="1:19" s="6" customFormat="1" x14ac:dyDescent="0.25">
      <c r="D9" s="6">
        <v>0</v>
      </c>
      <c r="E9" s="6">
        <v>0</v>
      </c>
      <c r="F9" s="6">
        <v>2</v>
      </c>
      <c r="G9" s="6">
        <v>1</v>
      </c>
      <c r="I9" s="6">
        <f t="shared" si="0"/>
        <v>3</v>
      </c>
      <c r="J9" s="60" t="e" cm="1">
        <f t="array" ref="J9">SUM(D9:G9*$D$2:$G$2)/I9</f>
        <v>#N/A</v>
      </c>
      <c r="K9" s="6" t="str">
        <f t="shared" si="1"/>
        <v>0;0;2;1;3</v>
      </c>
      <c r="L9" s="6">
        <f t="shared" si="2"/>
        <v>1</v>
      </c>
    </row>
    <row r="10" spans="1:19" s="6" customFormat="1" x14ac:dyDescent="0.25">
      <c r="D10" s="6">
        <v>0</v>
      </c>
      <c r="E10" s="6">
        <v>1</v>
      </c>
      <c r="F10" s="6">
        <v>1</v>
      </c>
      <c r="G10" s="6">
        <v>1</v>
      </c>
      <c r="I10" s="6">
        <f t="shared" si="0"/>
        <v>3</v>
      </c>
      <c r="J10" s="60" t="e" cm="1">
        <f t="array" ref="J10">SUM(D10:G10*$D$2:$G$2)/I10</f>
        <v>#N/A</v>
      </c>
      <c r="K10" s="6" t="str">
        <f t="shared" si="1"/>
        <v>0;1;1;1;3</v>
      </c>
      <c r="L10" s="6">
        <f t="shared" si="2"/>
        <v>1</v>
      </c>
    </row>
    <row r="11" spans="1:19" s="6" customFormat="1" x14ac:dyDescent="0.25">
      <c r="D11" s="6">
        <v>0</v>
      </c>
      <c r="E11" s="6">
        <v>2</v>
      </c>
      <c r="F11" s="6">
        <v>0</v>
      </c>
      <c r="G11" s="6">
        <v>1</v>
      </c>
      <c r="I11" s="6">
        <f t="shared" si="0"/>
        <v>3</v>
      </c>
      <c r="J11" s="60" t="e" cm="1">
        <f t="array" ref="J11">SUM(D11:G11*$D$2:$G$2)/I11</f>
        <v>#N/A</v>
      </c>
      <c r="K11" s="6" t="str">
        <f t="shared" si="1"/>
        <v>0;2;0;1;3</v>
      </c>
      <c r="L11" s="6">
        <f t="shared" si="2"/>
        <v>1</v>
      </c>
    </row>
    <row r="12" spans="1:19" s="6" customFormat="1" x14ac:dyDescent="0.25">
      <c r="D12" s="6">
        <v>1</v>
      </c>
      <c r="E12" s="6">
        <v>0</v>
      </c>
      <c r="F12" s="6">
        <v>0</v>
      </c>
      <c r="G12" s="6">
        <v>1</v>
      </c>
      <c r="I12" s="6">
        <f t="shared" si="0"/>
        <v>2</v>
      </c>
      <c r="J12" s="32" t="e" cm="1">
        <f t="array" ref="J12">SUM(D12:G12*$D$2:$G$2)/I12</f>
        <v>#N/A</v>
      </c>
      <c r="K12" s="6" t="str">
        <f t="shared" si="1"/>
        <v>1;0;0;1;2</v>
      </c>
      <c r="L12" s="6">
        <f t="shared" si="2"/>
        <v>1</v>
      </c>
    </row>
    <row r="13" spans="1:19" s="6" customFormat="1" x14ac:dyDescent="0.25">
      <c r="D13" s="6">
        <v>1</v>
      </c>
      <c r="E13" s="6">
        <v>0</v>
      </c>
      <c r="F13" s="6">
        <v>1</v>
      </c>
      <c r="G13" s="6">
        <v>1</v>
      </c>
      <c r="I13" s="6">
        <f t="shared" si="0"/>
        <v>3</v>
      </c>
      <c r="J13" s="60" t="e" cm="1">
        <f t="array" ref="J13">SUM(D13:G13*$D$2:$G$2)/I13</f>
        <v>#N/A</v>
      </c>
      <c r="K13" s="6" t="str">
        <f t="shared" si="1"/>
        <v>1;0;1;1;3</v>
      </c>
      <c r="L13" s="6">
        <f t="shared" si="2"/>
        <v>1</v>
      </c>
    </row>
    <row r="14" spans="1:19" s="6" customFormat="1" x14ac:dyDescent="0.25">
      <c r="D14" s="6">
        <v>1</v>
      </c>
      <c r="E14" s="6">
        <v>1</v>
      </c>
      <c r="F14" s="6">
        <v>0</v>
      </c>
      <c r="G14" s="6">
        <v>1</v>
      </c>
      <c r="I14" s="6">
        <f t="shared" si="0"/>
        <v>3</v>
      </c>
      <c r="J14" s="60" t="e" cm="1">
        <f t="array" ref="J14">SUM(D14:G14*$D$2:$G$2)/I14</f>
        <v>#N/A</v>
      </c>
      <c r="K14" s="6" t="str">
        <f t="shared" si="1"/>
        <v>1;1;0;1;3</v>
      </c>
      <c r="L14" s="6">
        <f t="shared" si="2"/>
        <v>1</v>
      </c>
    </row>
    <row r="15" spans="1:19" s="6" customFormat="1" x14ac:dyDescent="0.25">
      <c r="D15" s="6">
        <v>0</v>
      </c>
      <c r="E15" s="6">
        <v>1</v>
      </c>
      <c r="F15" s="6">
        <v>2</v>
      </c>
      <c r="G15" s="6">
        <v>0</v>
      </c>
      <c r="I15" s="6">
        <f t="shared" si="0"/>
        <v>3</v>
      </c>
      <c r="J15" s="60" t="e" cm="1">
        <f t="array" ref="J15">SUM(D15:G15*$D$2:$G$2)/I15</f>
        <v>#N/A</v>
      </c>
      <c r="K15" s="6" t="str">
        <f t="shared" si="1"/>
        <v>0;1;2;0;3</v>
      </c>
      <c r="L15" s="6">
        <f t="shared" si="2"/>
        <v>1</v>
      </c>
    </row>
    <row r="16" spans="1:19" s="6" customFormat="1" x14ac:dyDescent="0.25">
      <c r="D16" s="6">
        <v>0</v>
      </c>
      <c r="E16" s="6">
        <v>1</v>
      </c>
      <c r="F16" s="6">
        <v>1</v>
      </c>
      <c r="G16" s="6">
        <v>0</v>
      </c>
      <c r="I16" s="6">
        <f t="shared" si="0"/>
        <v>2</v>
      </c>
      <c r="J16" s="32" t="e" cm="1">
        <f t="array" ref="J16">SUM(D16:G16*$D$2:$G$2)/I16</f>
        <v>#N/A</v>
      </c>
      <c r="K16" s="6" t="str">
        <f t="shared" si="1"/>
        <v>0;1;1;0;2</v>
      </c>
      <c r="L16" s="6">
        <f t="shared" si="2"/>
        <v>1</v>
      </c>
    </row>
    <row r="17" spans="4:12" s="6" customFormat="1" x14ac:dyDescent="0.25">
      <c r="D17" s="6">
        <v>0</v>
      </c>
      <c r="E17" s="6">
        <v>2</v>
      </c>
      <c r="F17" s="6">
        <v>1</v>
      </c>
      <c r="G17" s="6">
        <v>0</v>
      </c>
      <c r="I17" s="6">
        <f t="shared" si="0"/>
        <v>3</v>
      </c>
      <c r="J17" s="60" t="e" cm="1">
        <f t="array" ref="J17">SUM(D17:G17*$D$2:$G$2)/I17</f>
        <v>#N/A</v>
      </c>
      <c r="K17" s="6" t="str">
        <f t="shared" si="1"/>
        <v>0;2;1;0;3</v>
      </c>
      <c r="L17" s="6">
        <f t="shared" si="2"/>
        <v>1</v>
      </c>
    </row>
    <row r="18" spans="4:12" s="6" customFormat="1" x14ac:dyDescent="0.25">
      <c r="D18" s="6">
        <v>2</v>
      </c>
      <c r="E18" s="6">
        <v>0</v>
      </c>
      <c r="F18" s="6">
        <v>0</v>
      </c>
      <c r="G18" s="6">
        <v>1</v>
      </c>
      <c r="I18" s="6">
        <f t="shared" si="0"/>
        <v>3</v>
      </c>
      <c r="J18" s="60" t="e" cm="1">
        <f t="array" ref="J18">SUM(D18:G18*$D$2:$G$2)/I18</f>
        <v>#N/A</v>
      </c>
      <c r="K18" s="6" t="str">
        <f t="shared" si="1"/>
        <v>2;0;0;1;3</v>
      </c>
      <c r="L18" s="6">
        <f t="shared" si="2"/>
        <v>1</v>
      </c>
    </row>
    <row r="19" spans="4:12" s="6" customFormat="1" x14ac:dyDescent="0.25">
      <c r="D19" s="6">
        <v>1</v>
      </c>
      <c r="E19" s="6">
        <v>0</v>
      </c>
      <c r="F19" s="6">
        <v>2</v>
      </c>
      <c r="G19" s="6">
        <v>0</v>
      </c>
      <c r="I19" s="6">
        <f t="shared" si="0"/>
        <v>3</v>
      </c>
      <c r="J19" s="60" t="e" cm="1">
        <f t="array" ref="J19">SUM(D19:G19*$D$2:$G$2)/I19</f>
        <v>#N/A</v>
      </c>
      <c r="K19" s="6" t="str">
        <f t="shared" si="1"/>
        <v>1;0;2;0;3</v>
      </c>
      <c r="L19" s="6">
        <f t="shared" si="2"/>
        <v>1</v>
      </c>
    </row>
    <row r="20" spans="4:12" s="6" customFormat="1" x14ac:dyDescent="0.25">
      <c r="D20" s="6">
        <v>1</v>
      </c>
      <c r="E20" s="6">
        <v>1</v>
      </c>
      <c r="F20" s="6">
        <v>1</v>
      </c>
      <c r="G20" s="6">
        <v>0</v>
      </c>
      <c r="I20" s="6">
        <f t="shared" si="0"/>
        <v>3</v>
      </c>
      <c r="J20" s="60" t="e" cm="1">
        <f t="array" ref="J20">SUM(D20:G20*$D$2:$G$2)/I20</f>
        <v>#N/A</v>
      </c>
      <c r="K20" s="6" t="str">
        <f t="shared" si="1"/>
        <v>1;1;1;0;3</v>
      </c>
      <c r="L20" s="6">
        <f t="shared" si="2"/>
        <v>1</v>
      </c>
    </row>
    <row r="21" spans="4:12" s="6" customFormat="1" x14ac:dyDescent="0.25">
      <c r="D21" s="6">
        <v>1</v>
      </c>
      <c r="E21" s="6">
        <v>0</v>
      </c>
      <c r="F21" s="6">
        <v>1</v>
      </c>
      <c r="G21" s="6">
        <v>0</v>
      </c>
      <c r="I21" s="6">
        <f t="shared" si="0"/>
        <v>2</v>
      </c>
      <c r="J21" s="32" t="e" cm="1">
        <f t="array" ref="J21">SUM(D21:G21*$D$2:$G$2)/I21</f>
        <v>#N/A</v>
      </c>
      <c r="K21" s="6" t="str">
        <f t="shared" si="1"/>
        <v>1;0;1;0;2</v>
      </c>
      <c r="L21" s="6">
        <f t="shared" si="2"/>
        <v>1</v>
      </c>
    </row>
    <row r="22" spans="4:12" s="6" customFormat="1" x14ac:dyDescent="0.25">
      <c r="D22" s="6">
        <v>1</v>
      </c>
      <c r="E22" s="6">
        <v>2</v>
      </c>
      <c r="F22" s="6">
        <v>0</v>
      </c>
      <c r="G22" s="6">
        <v>0</v>
      </c>
      <c r="I22" s="6">
        <f t="shared" si="0"/>
        <v>3</v>
      </c>
      <c r="J22" s="60" t="e" cm="1">
        <f t="array" ref="J22">SUM(D22:G22*$D$2:$G$2)/I22</f>
        <v>#N/A</v>
      </c>
      <c r="K22" s="6" t="str">
        <f t="shared" si="1"/>
        <v>1;2;0;0;3</v>
      </c>
      <c r="L22" s="6">
        <f t="shared" si="2"/>
        <v>1</v>
      </c>
    </row>
    <row r="23" spans="4:12" s="6" customFormat="1" x14ac:dyDescent="0.25">
      <c r="D23" s="6">
        <v>1</v>
      </c>
      <c r="E23" s="6">
        <v>1</v>
      </c>
      <c r="F23" s="6">
        <v>0</v>
      </c>
      <c r="G23" s="6">
        <v>0</v>
      </c>
      <c r="I23" s="6">
        <f t="shared" si="0"/>
        <v>2</v>
      </c>
      <c r="J23" s="32" t="e" cm="1">
        <f t="array" ref="J23">SUM(D23:G23*$D$2:$G$2)/I23</f>
        <v>#N/A</v>
      </c>
      <c r="K23" s="6" t="str">
        <f t="shared" si="1"/>
        <v>1;1;0;0;2</v>
      </c>
      <c r="L23" s="6">
        <f t="shared" si="2"/>
        <v>1</v>
      </c>
    </row>
    <row r="24" spans="4:12" s="6" customFormat="1" x14ac:dyDescent="0.25">
      <c r="D24" s="6">
        <v>2</v>
      </c>
      <c r="E24" s="6">
        <v>0</v>
      </c>
      <c r="F24" s="6">
        <v>1</v>
      </c>
      <c r="G24" s="6">
        <v>0</v>
      </c>
      <c r="I24" s="6">
        <f t="shared" si="0"/>
        <v>3</v>
      </c>
      <c r="J24" s="60" t="e" cm="1">
        <f t="array" ref="J24">SUM(D24:G24*$D$2:$G$2)/I24</f>
        <v>#N/A</v>
      </c>
      <c r="K24" s="6" t="str">
        <f t="shared" si="1"/>
        <v>2;0;1;0;3</v>
      </c>
      <c r="L24" s="6">
        <f t="shared" si="2"/>
        <v>1</v>
      </c>
    </row>
    <row r="25" spans="4:12" s="6" customFormat="1" x14ac:dyDescent="0.25">
      <c r="D25" s="6">
        <v>2</v>
      </c>
      <c r="E25" s="6">
        <v>1</v>
      </c>
      <c r="F25" s="6">
        <v>0</v>
      </c>
      <c r="G25" s="6">
        <v>0</v>
      </c>
      <c r="I25" s="6">
        <f t="shared" si="0"/>
        <v>3</v>
      </c>
      <c r="J25" s="60" t="e" cm="1">
        <f t="array" ref="J25">SUM(D25:G25*$D$2:$G$2)/I25</f>
        <v>#N/A</v>
      </c>
      <c r="K25" s="6" t="str">
        <f t="shared" si="1"/>
        <v>2;1;0;0;3</v>
      </c>
      <c r="L25" s="6">
        <f t="shared" si="2"/>
        <v>1</v>
      </c>
    </row>
    <row r="26" spans="4:12" s="6" customFormat="1" x14ac:dyDescent="0.25">
      <c r="D26" s="6">
        <v>0</v>
      </c>
      <c r="E26" s="6">
        <v>0</v>
      </c>
      <c r="F26" s="6">
        <v>1</v>
      </c>
      <c r="G26" s="6">
        <v>3</v>
      </c>
      <c r="I26" s="6">
        <f t="shared" si="0"/>
        <v>4</v>
      </c>
      <c r="J26" s="60" t="e" cm="1">
        <f t="array" ref="J26">SUM(D26:G26*$D$2:$G$2)/I26</f>
        <v>#N/A</v>
      </c>
      <c r="K26" s="6" t="str">
        <f t="shared" si="1"/>
        <v>0;0;1;3;4</v>
      </c>
      <c r="L26" s="6">
        <f t="shared" si="2"/>
        <v>1</v>
      </c>
    </row>
    <row r="27" spans="4:12" s="6" customFormat="1" x14ac:dyDescent="0.25">
      <c r="D27" s="6">
        <v>0</v>
      </c>
      <c r="E27" s="6">
        <v>1</v>
      </c>
      <c r="F27" s="6">
        <v>0</v>
      </c>
      <c r="G27" s="6">
        <v>3</v>
      </c>
      <c r="I27" s="6">
        <f t="shared" si="0"/>
        <v>4</v>
      </c>
      <c r="J27" s="60" t="e" cm="1">
        <f t="array" ref="J27">SUM(D27:G27*$D$2:$G$2)/I27</f>
        <v>#N/A</v>
      </c>
      <c r="K27" s="6" t="str">
        <f t="shared" si="1"/>
        <v>0;1;0;3;4</v>
      </c>
      <c r="L27" s="6">
        <f t="shared" si="2"/>
        <v>1</v>
      </c>
    </row>
    <row r="28" spans="4:12" s="6" customFormat="1" x14ac:dyDescent="0.25">
      <c r="D28" s="6">
        <v>1</v>
      </c>
      <c r="E28" s="6">
        <v>0</v>
      </c>
      <c r="F28" s="6">
        <v>0</v>
      </c>
      <c r="G28" s="6">
        <v>3</v>
      </c>
      <c r="I28" s="6">
        <f t="shared" si="0"/>
        <v>4</v>
      </c>
      <c r="J28" s="60" t="e" cm="1">
        <f t="array" ref="J28">SUM(D28:G28*$D$2:$G$2)/I28</f>
        <v>#N/A</v>
      </c>
      <c r="K28" s="6" t="str">
        <f t="shared" si="1"/>
        <v>1;0;0;3;4</v>
      </c>
      <c r="L28" s="6">
        <f t="shared" si="2"/>
        <v>1</v>
      </c>
    </row>
    <row r="29" spans="4:12" s="6" customFormat="1" x14ac:dyDescent="0.25">
      <c r="D29" s="6">
        <v>0</v>
      </c>
      <c r="E29" s="6">
        <v>0</v>
      </c>
      <c r="F29" s="6">
        <v>2</v>
      </c>
      <c r="G29" s="6">
        <v>2</v>
      </c>
      <c r="I29" s="6">
        <f t="shared" si="0"/>
        <v>4</v>
      </c>
      <c r="J29" s="60" t="e" cm="1">
        <f t="array" ref="J29">SUM(D29:G29*$D$2:$G$2)/I29</f>
        <v>#N/A</v>
      </c>
      <c r="K29" s="6" t="str">
        <f t="shared" si="1"/>
        <v>0;0;2;2;4</v>
      </c>
      <c r="L29" s="6">
        <f t="shared" si="2"/>
        <v>1</v>
      </c>
    </row>
    <row r="30" spans="4:12" s="6" customFormat="1" x14ac:dyDescent="0.25">
      <c r="D30" s="6">
        <v>0</v>
      </c>
      <c r="E30" s="6">
        <v>1</v>
      </c>
      <c r="F30" s="6">
        <v>1</v>
      </c>
      <c r="G30" s="6">
        <v>2</v>
      </c>
      <c r="I30" s="6">
        <f t="shared" si="0"/>
        <v>4</v>
      </c>
      <c r="J30" s="60" t="e" cm="1">
        <f t="array" ref="J30">SUM(D30:G30*$D$2:$G$2)/I30</f>
        <v>#N/A</v>
      </c>
      <c r="K30" s="6" t="str">
        <f t="shared" si="1"/>
        <v>0;1;1;2;4</v>
      </c>
      <c r="L30" s="6">
        <f t="shared" si="2"/>
        <v>1</v>
      </c>
    </row>
    <row r="31" spans="4:12" s="6" customFormat="1" x14ac:dyDescent="0.25">
      <c r="D31" s="6">
        <v>0</v>
      </c>
      <c r="E31" s="6">
        <v>2</v>
      </c>
      <c r="F31" s="6">
        <v>0</v>
      </c>
      <c r="G31" s="6">
        <v>2</v>
      </c>
      <c r="I31" s="6">
        <f t="shared" si="0"/>
        <v>4</v>
      </c>
      <c r="J31" s="60" t="e" cm="1">
        <f t="array" ref="J31">SUM(D31:G31*$D$2:$G$2)/I31</f>
        <v>#N/A</v>
      </c>
      <c r="K31" s="6" t="str">
        <f t="shared" si="1"/>
        <v>0;2;0;2;4</v>
      </c>
      <c r="L31" s="6">
        <f t="shared" si="2"/>
        <v>1</v>
      </c>
    </row>
    <row r="32" spans="4:12" s="6" customFormat="1" x14ac:dyDescent="0.25">
      <c r="D32" s="6">
        <v>1</v>
      </c>
      <c r="E32" s="6">
        <v>0</v>
      </c>
      <c r="F32" s="6">
        <v>1</v>
      </c>
      <c r="G32" s="6">
        <v>2</v>
      </c>
      <c r="I32" s="6">
        <f t="shared" si="0"/>
        <v>4</v>
      </c>
      <c r="J32" s="60" t="e" cm="1">
        <f t="array" ref="J32">SUM(D32:G32*$D$2:$G$2)/I32</f>
        <v>#N/A</v>
      </c>
      <c r="K32" s="6" t="str">
        <f t="shared" si="1"/>
        <v>1;0;1;2;4</v>
      </c>
      <c r="L32" s="6">
        <f t="shared" si="2"/>
        <v>1</v>
      </c>
    </row>
    <row r="33" spans="4:12" s="6" customFormat="1" x14ac:dyDescent="0.25">
      <c r="D33" s="6">
        <v>1</v>
      </c>
      <c r="E33" s="6">
        <v>1</v>
      </c>
      <c r="F33" s="6">
        <v>0</v>
      </c>
      <c r="G33" s="6">
        <v>2</v>
      </c>
      <c r="I33" s="6">
        <f t="shared" si="0"/>
        <v>4</v>
      </c>
      <c r="J33" s="60" t="e" cm="1">
        <f t="array" ref="J33">SUM(D33:G33*$D$2:$G$2)/I33</f>
        <v>#N/A</v>
      </c>
      <c r="K33" s="6" t="str">
        <f t="shared" si="1"/>
        <v>1;1;0;2;4</v>
      </c>
      <c r="L33" s="6">
        <f t="shared" si="2"/>
        <v>1</v>
      </c>
    </row>
    <row r="34" spans="4:12" s="6" customFormat="1" x14ac:dyDescent="0.25">
      <c r="D34" s="6">
        <v>0</v>
      </c>
      <c r="E34" s="6">
        <v>0</v>
      </c>
      <c r="F34" s="6">
        <v>3</v>
      </c>
      <c r="G34" s="6">
        <v>1</v>
      </c>
      <c r="I34" s="6">
        <f t="shared" si="0"/>
        <v>4</v>
      </c>
      <c r="J34" s="60" t="e" cm="1">
        <f t="array" ref="J34">SUM(D34:G34*$D$2:$G$2)/I34</f>
        <v>#N/A</v>
      </c>
      <c r="K34" s="6" t="str">
        <f t="shared" si="1"/>
        <v>0;0;3;1;4</v>
      </c>
      <c r="L34" s="6">
        <f t="shared" si="2"/>
        <v>1</v>
      </c>
    </row>
    <row r="35" spans="4:12" s="6" customFormat="1" x14ac:dyDescent="0.25">
      <c r="D35" s="6">
        <v>0</v>
      </c>
      <c r="E35" s="6">
        <v>1</v>
      </c>
      <c r="F35" s="6">
        <v>2</v>
      </c>
      <c r="G35" s="6">
        <v>1</v>
      </c>
      <c r="I35" s="6">
        <f t="shared" si="0"/>
        <v>4</v>
      </c>
      <c r="J35" s="60" t="e" cm="1">
        <f t="array" ref="J35">SUM(D35:G35*$D$2:$G$2)/I35</f>
        <v>#N/A</v>
      </c>
      <c r="K35" s="6" t="str">
        <f t="shared" si="1"/>
        <v>0;1;2;1;4</v>
      </c>
      <c r="L35" s="6">
        <f t="shared" si="2"/>
        <v>1</v>
      </c>
    </row>
    <row r="36" spans="4:12" s="6" customFormat="1" x14ac:dyDescent="0.25">
      <c r="D36" s="6">
        <v>0</v>
      </c>
      <c r="E36" s="6">
        <v>2</v>
      </c>
      <c r="F36" s="6">
        <v>1</v>
      </c>
      <c r="G36" s="6">
        <v>1</v>
      </c>
      <c r="I36" s="6">
        <f t="shared" ref="I36:I56" si="3">SUM(D36:H36)</f>
        <v>4</v>
      </c>
      <c r="J36" s="60" t="e" cm="1">
        <f t="array" ref="J36">SUM(D36:G36*$D$2:$G$2)/I36</f>
        <v>#N/A</v>
      </c>
      <c r="K36" s="6" t="str">
        <f t="shared" ref="K36:K56" si="4">_xlfn.TEXTJOIN(";",,D36:I36)</f>
        <v>0;2;1;1;4</v>
      </c>
      <c r="L36" s="6">
        <f t="shared" ref="L36:L56" si="5">COUNTIF($K$4:$K$84,K36)</f>
        <v>1</v>
      </c>
    </row>
    <row r="37" spans="4:12" s="6" customFormat="1" x14ac:dyDescent="0.25">
      <c r="D37" s="6">
        <v>2</v>
      </c>
      <c r="E37" s="6">
        <v>0</v>
      </c>
      <c r="F37" s="6">
        <v>0</v>
      </c>
      <c r="G37" s="6">
        <v>2</v>
      </c>
      <c r="I37" s="6">
        <f t="shared" si="3"/>
        <v>4</v>
      </c>
      <c r="J37" s="60" t="e" cm="1">
        <f t="array" ref="J37">SUM(D37:G37*$D$2:$G$2)/I37</f>
        <v>#N/A</v>
      </c>
      <c r="K37" s="6" t="str">
        <f t="shared" si="4"/>
        <v>2;0;0;2;4</v>
      </c>
      <c r="L37" s="6">
        <f t="shared" si="5"/>
        <v>1</v>
      </c>
    </row>
    <row r="38" spans="4:12" s="6" customFormat="1" x14ac:dyDescent="0.25">
      <c r="D38" s="6">
        <v>0</v>
      </c>
      <c r="E38" s="6">
        <v>3</v>
      </c>
      <c r="F38" s="6">
        <v>0</v>
      </c>
      <c r="G38" s="6">
        <v>1</v>
      </c>
      <c r="I38" s="6">
        <f t="shared" si="3"/>
        <v>4</v>
      </c>
      <c r="J38" s="60" t="e" cm="1">
        <f t="array" ref="J38">SUM(D38:G38*$D$2:$G$2)/I38</f>
        <v>#N/A</v>
      </c>
      <c r="K38" s="6" t="str">
        <f t="shared" si="4"/>
        <v>0;3;0;1;4</v>
      </c>
      <c r="L38" s="6">
        <f t="shared" si="5"/>
        <v>1</v>
      </c>
    </row>
    <row r="39" spans="4:12" s="6" customFormat="1" x14ac:dyDescent="0.25">
      <c r="D39" s="6">
        <v>1</v>
      </c>
      <c r="E39" s="6">
        <v>0</v>
      </c>
      <c r="F39" s="6">
        <v>2</v>
      </c>
      <c r="G39" s="6">
        <v>1</v>
      </c>
      <c r="I39" s="6">
        <f t="shared" si="3"/>
        <v>4</v>
      </c>
      <c r="J39" s="60" t="e" cm="1">
        <f t="array" ref="J39">SUM(D39:G39*$D$2:$G$2)/I39</f>
        <v>#N/A</v>
      </c>
      <c r="K39" s="6" t="str">
        <f t="shared" si="4"/>
        <v>1;0;2;1;4</v>
      </c>
      <c r="L39" s="6">
        <f t="shared" si="5"/>
        <v>1</v>
      </c>
    </row>
    <row r="40" spans="4:12" s="6" customFormat="1" x14ac:dyDescent="0.25">
      <c r="D40" s="6">
        <v>1</v>
      </c>
      <c r="E40" s="6">
        <v>1</v>
      </c>
      <c r="F40" s="6">
        <v>1</v>
      </c>
      <c r="G40" s="6">
        <v>1</v>
      </c>
      <c r="I40" s="6">
        <f t="shared" si="3"/>
        <v>4</v>
      </c>
      <c r="J40" s="60" t="e" cm="1">
        <f t="array" ref="J40">SUM(D40:G40*$D$2:$G$2)/I40</f>
        <v>#N/A</v>
      </c>
      <c r="K40" s="6" t="str">
        <f t="shared" si="4"/>
        <v>1;1;1;1;4</v>
      </c>
      <c r="L40" s="6">
        <f t="shared" si="5"/>
        <v>1</v>
      </c>
    </row>
    <row r="41" spans="4:12" s="6" customFormat="1" x14ac:dyDescent="0.25">
      <c r="D41" s="6">
        <v>1</v>
      </c>
      <c r="E41" s="6">
        <v>2</v>
      </c>
      <c r="F41" s="6">
        <v>0</v>
      </c>
      <c r="G41" s="6">
        <v>1</v>
      </c>
      <c r="I41" s="6">
        <f t="shared" si="3"/>
        <v>4</v>
      </c>
      <c r="J41" s="60" t="e" cm="1">
        <f t="array" ref="J41">SUM(D41:G41*$D$2:$G$2)/I41</f>
        <v>#N/A</v>
      </c>
      <c r="K41" s="6" t="str">
        <f t="shared" si="4"/>
        <v>1;2;0;1;4</v>
      </c>
      <c r="L41" s="6">
        <f t="shared" si="5"/>
        <v>1</v>
      </c>
    </row>
    <row r="42" spans="4:12" s="6" customFormat="1" x14ac:dyDescent="0.25">
      <c r="D42" s="6">
        <v>0</v>
      </c>
      <c r="E42" s="6">
        <v>1</v>
      </c>
      <c r="F42" s="6">
        <v>3</v>
      </c>
      <c r="G42" s="6">
        <v>0</v>
      </c>
      <c r="I42" s="6">
        <f t="shared" si="3"/>
        <v>4</v>
      </c>
      <c r="J42" s="60" t="e" cm="1">
        <f t="array" ref="J42">SUM(D42:G42*$D$2:$G$2)/I42</f>
        <v>#N/A</v>
      </c>
      <c r="K42" s="6" t="str">
        <f t="shared" si="4"/>
        <v>0;1;3;0;4</v>
      </c>
      <c r="L42" s="6">
        <f t="shared" si="5"/>
        <v>1</v>
      </c>
    </row>
    <row r="43" spans="4:12" s="6" customFormat="1" x14ac:dyDescent="0.25">
      <c r="D43" s="6">
        <v>0</v>
      </c>
      <c r="E43" s="6">
        <v>2</v>
      </c>
      <c r="F43" s="6">
        <v>2</v>
      </c>
      <c r="G43" s="6">
        <v>0</v>
      </c>
      <c r="I43" s="6">
        <f t="shared" si="3"/>
        <v>4</v>
      </c>
      <c r="J43" s="60" t="e" cm="1">
        <f t="array" ref="J43">SUM(D43:G43*$D$2:$G$2)/I43</f>
        <v>#N/A</v>
      </c>
      <c r="K43" s="6" t="str">
        <f t="shared" si="4"/>
        <v>0;2;2;0;4</v>
      </c>
      <c r="L43" s="6">
        <f t="shared" si="5"/>
        <v>1</v>
      </c>
    </row>
    <row r="44" spans="4:12" s="6" customFormat="1" x14ac:dyDescent="0.25">
      <c r="D44" s="6">
        <v>2</v>
      </c>
      <c r="E44" s="6">
        <v>0</v>
      </c>
      <c r="F44" s="6">
        <v>1</v>
      </c>
      <c r="G44" s="6">
        <v>1</v>
      </c>
      <c r="I44" s="6">
        <f t="shared" si="3"/>
        <v>4</v>
      </c>
      <c r="J44" s="60" t="e" cm="1">
        <f t="array" ref="J44">SUM(D44:G44*$D$2:$G$2)/I44</f>
        <v>#N/A</v>
      </c>
      <c r="K44" s="6" t="str">
        <f t="shared" si="4"/>
        <v>2;0;1;1;4</v>
      </c>
      <c r="L44" s="6">
        <f t="shared" si="5"/>
        <v>1</v>
      </c>
    </row>
    <row r="45" spans="4:12" s="6" customFormat="1" x14ac:dyDescent="0.25">
      <c r="D45" s="6">
        <v>2</v>
      </c>
      <c r="E45" s="6">
        <v>1</v>
      </c>
      <c r="F45" s="6">
        <v>0</v>
      </c>
      <c r="G45" s="6">
        <v>1</v>
      </c>
      <c r="I45" s="6">
        <f t="shared" si="3"/>
        <v>4</v>
      </c>
      <c r="J45" s="60" t="e" cm="1">
        <f t="array" ref="J45">SUM(D45:G45*$D$2:$G$2)/I45</f>
        <v>#N/A</v>
      </c>
      <c r="K45" s="6" t="str">
        <f t="shared" si="4"/>
        <v>2;1;0;1;4</v>
      </c>
      <c r="L45" s="6">
        <f t="shared" si="5"/>
        <v>1</v>
      </c>
    </row>
    <row r="46" spans="4:12" s="6" customFormat="1" x14ac:dyDescent="0.25">
      <c r="D46" s="6">
        <v>0</v>
      </c>
      <c r="E46" s="6">
        <v>3</v>
      </c>
      <c r="F46" s="6">
        <v>1</v>
      </c>
      <c r="G46" s="6">
        <v>0</v>
      </c>
      <c r="I46" s="6">
        <f t="shared" si="3"/>
        <v>4</v>
      </c>
      <c r="J46" s="60" t="e" cm="1">
        <f t="array" ref="J46">SUM(D46:G46*$D$2:$G$2)/I46</f>
        <v>#N/A</v>
      </c>
      <c r="K46" s="6" t="str">
        <f t="shared" si="4"/>
        <v>0;3;1;0;4</v>
      </c>
      <c r="L46" s="6">
        <f t="shared" si="5"/>
        <v>1</v>
      </c>
    </row>
    <row r="47" spans="4:12" s="6" customFormat="1" x14ac:dyDescent="0.25">
      <c r="D47" s="6">
        <v>1</v>
      </c>
      <c r="E47" s="6">
        <v>0</v>
      </c>
      <c r="F47" s="6">
        <v>3</v>
      </c>
      <c r="G47" s="6">
        <v>0</v>
      </c>
      <c r="I47" s="6">
        <f t="shared" si="3"/>
        <v>4</v>
      </c>
      <c r="J47" s="60" t="e" cm="1">
        <f t="array" ref="J47">SUM(D47:G47*$D$2:$G$2)/I47</f>
        <v>#N/A</v>
      </c>
      <c r="K47" s="6" t="str">
        <f t="shared" si="4"/>
        <v>1;0;3;0;4</v>
      </c>
      <c r="L47" s="6">
        <f t="shared" si="5"/>
        <v>1</v>
      </c>
    </row>
    <row r="48" spans="4:12" s="6" customFormat="1" x14ac:dyDescent="0.25">
      <c r="D48" s="6">
        <v>1</v>
      </c>
      <c r="E48" s="6">
        <v>1</v>
      </c>
      <c r="F48" s="6">
        <v>2</v>
      </c>
      <c r="G48" s="6">
        <v>0</v>
      </c>
      <c r="I48" s="6">
        <f t="shared" si="3"/>
        <v>4</v>
      </c>
      <c r="J48" s="60" t="e" cm="1">
        <f t="array" ref="J48">SUM(D48:G48*$D$2:$G$2)/I48</f>
        <v>#N/A</v>
      </c>
      <c r="K48" s="6" t="str">
        <f t="shared" si="4"/>
        <v>1;1;2;0;4</v>
      </c>
      <c r="L48" s="6">
        <f t="shared" si="5"/>
        <v>1</v>
      </c>
    </row>
    <row r="49" spans="4:12" s="6" customFormat="1" x14ac:dyDescent="0.25">
      <c r="D49" s="6">
        <v>1</v>
      </c>
      <c r="E49" s="6">
        <v>2</v>
      </c>
      <c r="F49" s="6">
        <v>1</v>
      </c>
      <c r="G49" s="6">
        <v>0</v>
      </c>
      <c r="I49" s="6">
        <f t="shared" si="3"/>
        <v>4</v>
      </c>
      <c r="J49" s="60" t="e" cm="1">
        <f t="array" ref="J49">SUM(D49:G49*$D$2:$G$2)/I49</f>
        <v>#N/A</v>
      </c>
      <c r="K49" s="6" t="str">
        <f t="shared" si="4"/>
        <v>1;2;1;0;4</v>
      </c>
      <c r="L49" s="6">
        <f t="shared" si="5"/>
        <v>1</v>
      </c>
    </row>
    <row r="50" spans="4:12" s="6" customFormat="1" x14ac:dyDescent="0.25">
      <c r="D50" s="6">
        <v>3</v>
      </c>
      <c r="E50" s="6">
        <v>0</v>
      </c>
      <c r="F50" s="6">
        <v>0</v>
      </c>
      <c r="G50" s="6">
        <v>1</v>
      </c>
      <c r="I50" s="6">
        <f t="shared" si="3"/>
        <v>4</v>
      </c>
      <c r="J50" s="60" t="e" cm="1">
        <f t="array" ref="J50">SUM(D50:G50*$D$2:$G$2)/I50</f>
        <v>#N/A</v>
      </c>
      <c r="K50" s="6" t="str">
        <f t="shared" si="4"/>
        <v>3;0;0;1;4</v>
      </c>
      <c r="L50" s="6">
        <f t="shared" si="5"/>
        <v>1</v>
      </c>
    </row>
    <row r="51" spans="4:12" s="6" customFormat="1" x14ac:dyDescent="0.25">
      <c r="D51" s="6">
        <v>1</v>
      </c>
      <c r="E51" s="6">
        <v>3</v>
      </c>
      <c r="F51" s="6">
        <v>0</v>
      </c>
      <c r="G51" s="6">
        <v>0</v>
      </c>
      <c r="I51" s="6">
        <f t="shared" si="3"/>
        <v>4</v>
      </c>
      <c r="J51" s="60" t="e" cm="1">
        <f t="array" ref="J51">SUM(D51:G51*$D$2:$G$2)/I51</f>
        <v>#N/A</v>
      </c>
      <c r="K51" s="6" t="str">
        <f t="shared" si="4"/>
        <v>1;3;0;0;4</v>
      </c>
      <c r="L51" s="6">
        <f t="shared" si="5"/>
        <v>1</v>
      </c>
    </row>
    <row r="52" spans="4:12" s="6" customFormat="1" x14ac:dyDescent="0.25">
      <c r="D52" s="6">
        <v>2</v>
      </c>
      <c r="E52" s="6">
        <v>0</v>
      </c>
      <c r="F52" s="6">
        <v>2</v>
      </c>
      <c r="G52" s="6">
        <v>0</v>
      </c>
      <c r="I52" s="6">
        <f t="shared" si="3"/>
        <v>4</v>
      </c>
      <c r="J52" s="60" t="e" cm="1">
        <f t="array" ref="J52">SUM(D52:G52*$D$2:$G$2)/I52</f>
        <v>#N/A</v>
      </c>
      <c r="K52" s="6" t="str">
        <f t="shared" si="4"/>
        <v>2;0;2;0;4</v>
      </c>
      <c r="L52" s="6">
        <f t="shared" si="5"/>
        <v>1</v>
      </c>
    </row>
    <row r="53" spans="4:12" s="6" customFormat="1" x14ac:dyDescent="0.25">
      <c r="D53" s="6">
        <v>2</v>
      </c>
      <c r="E53" s="6">
        <v>1</v>
      </c>
      <c r="F53" s="6">
        <v>1</v>
      </c>
      <c r="G53" s="6">
        <v>0</v>
      </c>
      <c r="I53" s="6">
        <f t="shared" si="3"/>
        <v>4</v>
      </c>
      <c r="J53" s="60" t="e" cm="1">
        <f t="array" ref="J53">SUM(D53:G53*$D$2:$G$2)/I53</f>
        <v>#N/A</v>
      </c>
      <c r="K53" s="6" t="str">
        <f t="shared" si="4"/>
        <v>2;1;1;0;4</v>
      </c>
      <c r="L53" s="6">
        <f t="shared" si="5"/>
        <v>1</v>
      </c>
    </row>
    <row r="54" spans="4:12" s="6" customFormat="1" x14ac:dyDescent="0.25">
      <c r="D54" s="6">
        <v>2</v>
      </c>
      <c r="E54" s="6">
        <v>2</v>
      </c>
      <c r="F54" s="6">
        <v>0</v>
      </c>
      <c r="G54" s="6">
        <v>0</v>
      </c>
      <c r="I54" s="6">
        <f t="shared" si="3"/>
        <v>4</v>
      </c>
      <c r="J54" s="60" t="e" cm="1">
        <f t="array" ref="J54">SUM(D54:G54*$D$2:$G$2)/I54</f>
        <v>#N/A</v>
      </c>
      <c r="K54" s="6" t="str">
        <f t="shared" si="4"/>
        <v>2;2;0;0;4</v>
      </c>
      <c r="L54" s="6">
        <f t="shared" si="5"/>
        <v>1</v>
      </c>
    </row>
    <row r="55" spans="4:12" s="6" customFormat="1" x14ac:dyDescent="0.25">
      <c r="D55" s="6">
        <v>3</v>
      </c>
      <c r="E55" s="6">
        <v>0</v>
      </c>
      <c r="F55" s="6">
        <v>1</v>
      </c>
      <c r="G55" s="6">
        <v>0</v>
      </c>
      <c r="I55" s="6">
        <f t="shared" si="3"/>
        <v>4</v>
      </c>
      <c r="J55" s="60" t="e" cm="1">
        <f t="array" ref="J55">SUM(D55:G55*$D$2:$G$2)/I55</f>
        <v>#N/A</v>
      </c>
      <c r="K55" s="6" t="str">
        <f t="shared" si="4"/>
        <v>3;0;1;0;4</v>
      </c>
      <c r="L55" s="6">
        <f t="shared" si="5"/>
        <v>1</v>
      </c>
    </row>
    <row r="56" spans="4:12" s="6" customFormat="1" x14ac:dyDescent="0.25">
      <c r="D56" s="6">
        <v>3</v>
      </c>
      <c r="E56" s="6">
        <v>1</v>
      </c>
      <c r="F56" s="6">
        <v>0</v>
      </c>
      <c r="G56" s="6">
        <v>0</v>
      </c>
      <c r="I56" s="6">
        <f t="shared" si="3"/>
        <v>4</v>
      </c>
      <c r="J56" s="60" t="e" cm="1">
        <f t="array" ref="J56">SUM(D56:G56*$D$2:$G$2)/I56</f>
        <v>#N/A</v>
      </c>
      <c r="K56" s="6" t="str">
        <f t="shared" si="4"/>
        <v>3;1;0;0;4</v>
      </c>
      <c r="L56" s="6">
        <f t="shared" si="5"/>
        <v>1</v>
      </c>
    </row>
  </sheetData>
  <autoFilter ref="L3:L56" xr:uid="{7C30C3C4-D363-415D-B227-034A519356E3}"/>
  <sortState xmlns:xlrd2="http://schemas.microsoft.com/office/spreadsheetml/2017/richdata2" ref="A26:S56">
    <sortCondition descending="1" ref="J26:J56"/>
  </sortState>
  <dataValidations count="1">
    <dataValidation type="list" allowBlank="1" showInputMessage="1" showErrorMessage="1" sqref="B2" xr:uid="{467EDBFC-15BB-4569-BBF9-44F60BBDF5DD}">
      <formula1>Project_Type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AA830-55AC-4627-A040-2ED45CBA65CF}">
  <sheetPr codeName="Sheet1"/>
  <dimension ref="A3:O23"/>
  <sheetViews>
    <sheetView workbookViewId="0">
      <selection activeCell="C4" sqref="C4"/>
    </sheetView>
  </sheetViews>
  <sheetFormatPr defaultColWidth="8.85546875" defaultRowHeight="15" x14ac:dyDescent="0.25"/>
  <cols>
    <col min="1" max="1" width="37.7109375" customWidth="1"/>
    <col min="2" max="2" width="1.42578125" customWidth="1"/>
    <col min="3" max="3" width="20.42578125" customWidth="1"/>
    <col min="4" max="4" width="2.42578125" customWidth="1"/>
    <col min="5" max="5" width="11.85546875" customWidth="1"/>
    <col min="6" max="6" width="11.42578125" customWidth="1"/>
    <col min="7" max="7" width="17.7109375" customWidth="1"/>
    <col min="8" max="8" width="2.7109375" customWidth="1"/>
    <col min="9" max="9" width="11.140625" customWidth="1"/>
    <col min="10" max="10" width="11.28515625" customWidth="1"/>
    <col min="11" max="11" width="9.7109375" customWidth="1"/>
    <col min="12" max="12" width="12.85546875" customWidth="1"/>
    <col min="13" max="13" width="13.85546875" customWidth="1"/>
    <col min="14" max="15" width="12.42578125" customWidth="1"/>
    <col min="16" max="16" width="13.28515625" customWidth="1"/>
  </cols>
  <sheetData>
    <row r="3" spans="1:15" ht="15.75" thickBot="1" x14ac:dyDescent="0.3">
      <c r="A3" s="31" t="s">
        <v>55</v>
      </c>
      <c r="I3" s="72" t="s">
        <v>60</v>
      </c>
      <c r="J3" s="72"/>
      <c r="K3" s="31" t="s">
        <v>62</v>
      </c>
    </row>
    <row r="4" spans="1:15" ht="15.75" thickBot="1" x14ac:dyDescent="0.3">
      <c r="A4" t="s">
        <v>44</v>
      </c>
      <c r="C4" s="61" t="s">
        <v>46</v>
      </c>
      <c r="E4" s="78" t="s">
        <v>61</v>
      </c>
      <c r="F4" s="79"/>
      <c r="G4" s="80"/>
      <c r="I4" s="44" t="s">
        <v>50</v>
      </c>
      <c r="J4" s="45"/>
      <c r="K4" s="64">
        <v>1</v>
      </c>
      <c r="M4" s="81" t="s">
        <v>76</v>
      </c>
      <c r="N4" s="82"/>
      <c r="O4" s="83"/>
    </row>
    <row r="5" spans="1:15" ht="15.75" thickBot="1" x14ac:dyDescent="0.3">
      <c r="A5" t="s">
        <v>56</v>
      </c>
      <c r="C5" s="63">
        <v>75000</v>
      </c>
      <c r="E5" s="78" t="s">
        <v>58</v>
      </c>
      <c r="F5" s="79"/>
      <c r="G5" s="80"/>
      <c r="I5" s="39" t="s">
        <v>51</v>
      </c>
      <c r="K5" s="64">
        <v>1</v>
      </c>
      <c r="M5" s="84"/>
      <c r="N5" s="85"/>
      <c r="O5" s="86"/>
    </row>
    <row r="6" spans="1:15" ht="15.75" thickBot="1" x14ac:dyDescent="0.3">
      <c r="A6" t="s">
        <v>57</v>
      </c>
      <c r="C6" s="62">
        <f>FF_Cash_budget</f>
        <v>0</v>
      </c>
      <c r="E6" s="78" t="s">
        <v>59</v>
      </c>
      <c r="F6" s="79"/>
      <c r="G6" s="80"/>
      <c r="I6" s="39" t="s">
        <v>52</v>
      </c>
      <c r="K6" s="64"/>
      <c r="M6" s="84"/>
      <c r="N6" s="85"/>
      <c r="O6" s="86"/>
    </row>
    <row r="7" spans="1:15" ht="15.75" thickBot="1" x14ac:dyDescent="0.3">
      <c r="I7" s="39" t="s">
        <v>53</v>
      </c>
      <c r="K7" s="64">
        <f>MAX(0,K1-SUM(K4:K6))</f>
        <v>0</v>
      </c>
      <c r="M7" s="84"/>
      <c r="N7" s="85"/>
      <c r="O7" s="86"/>
    </row>
    <row r="8" spans="1:15" ht="15.75" thickBot="1" x14ac:dyDescent="0.3">
      <c r="I8" s="57" t="s">
        <v>63</v>
      </c>
      <c r="J8" s="40"/>
      <c r="K8" s="38">
        <f>SUM(K4:K7)</f>
        <v>2</v>
      </c>
      <c r="M8" s="84"/>
      <c r="N8" s="85"/>
      <c r="O8" s="86"/>
    </row>
    <row r="9" spans="1:15" ht="15.75" thickBot="1" x14ac:dyDescent="0.3">
      <c r="I9" s="49" t="s">
        <v>54</v>
      </c>
      <c r="J9" s="50"/>
      <c r="K9" s="64">
        <v>0</v>
      </c>
      <c r="M9" s="87"/>
      <c r="N9" s="88"/>
      <c r="O9" s="89"/>
    </row>
    <row r="10" spans="1:15" ht="14.45" customHeight="1" x14ac:dyDescent="0.25"/>
    <row r="12" spans="1:15" x14ac:dyDescent="0.25">
      <c r="I12" s="6" t="s">
        <v>73</v>
      </c>
      <c r="J12" s="6" t="s">
        <v>74</v>
      </c>
      <c r="K12" s="6" t="s">
        <v>75</v>
      </c>
      <c r="L12" s="6" t="s">
        <v>90</v>
      </c>
      <c r="M12" s="6" t="s">
        <v>91</v>
      </c>
      <c r="N12" s="6" t="s">
        <v>92</v>
      </c>
      <c r="O12" s="6"/>
    </row>
    <row r="13" spans="1:15" x14ac:dyDescent="0.25">
      <c r="A13" s="73" t="s">
        <v>64</v>
      </c>
      <c r="B13" s="73"/>
      <c r="C13" s="73"/>
      <c r="D13" s="73"/>
      <c r="E13" s="73"/>
      <c r="F13" s="73"/>
      <c r="G13" s="73"/>
      <c r="I13" s="73" t="s">
        <v>68</v>
      </c>
      <c r="J13" s="73"/>
      <c r="K13" s="73"/>
      <c r="L13" s="73"/>
      <c r="M13" s="73"/>
      <c r="N13" s="73"/>
    </row>
    <row r="14" spans="1:15" ht="47.25" customHeight="1" thickBot="1" x14ac:dyDescent="0.3">
      <c r="A14" s="35"/>
      <c r="B14" s="35"/>
      <c r="C14" s="35"/>
      <c r="D14" s="35"/>
      <c r="E14" s="37" t="s">
        <v>66</v>
      </c>
      <c r="F14" s="37" t="s">
        <v>67</v>
      </c>
      <c r="G14" s="37" t="s">
        <v>10</v>
      </c>
      <c r="I14" s="36" t="s">
        <v>69</v>
      </c>
      <c r="J14" s="36" t="s">
        <v>88</v>
      </c>
      <c r="K14" s="36" t="s">
        <v>70</v>
      </c>
      <c r="L14" s="36" t="s">
        <v>71</v>
      </c>
      <c r="M14" s="36" t="s">
        <v>72</v>
      </c>
      <c r="N14" s="36" t="s">
        <v>89</v>
      </c>
    </row>
    <row r="15" spans="1:15" x14ac:dyDescent="0.25">
      <c r="A15" s="44" t="s">
        <v>50</v>
      </c>
      <c r="B15" s="45"/>
      <c r="C15" s="45"/>
      <c r="D15" s="45"/>
      <c r="E15" s="46">
        <f t="shared" ref="E15:F18" si="0">L15</f>
        <v>3750</v>
      </c>
      <c r="F15" s="46">
        <f t="shared" si="0"/>
        <v>0</v>
      </c>
      <c r="G15" s="47">
        <f>SUM(E15:F15)</f>
        <v>3750</v>
      </c>
      <c r="I15" s="41">
        <f>ROUND(Project_cash_Budget/Total_parties*VLOOKUP($A15,$I$4:$K$9,3,FALSE),0)</f>
        <v>37500</v>
      </c>
      <c r="J15" s="41">
        <f>ROUND(FF_Cash_budget/Total_parties*VLOOKUP($A15,$I$4:$K$9,3,FALSE),0)</f>
        <v>0</v>
      </c>
      <c r="K15" s="27">
        <f>VLOOKUP($A15&amp;" "&amp;$C$4,Participoant_benefits,2,FALSE)</f>
        <v>0.1</v>
      </c>
      <c r="L15" s="42">
        <f>I15*$K15</f>
        <v>3750</v>
      </c>
      <c r="M15" s="42">
        <f>J15*$K15</f>
        <v>0</v>
      </c>
      <c r="N15" s="42">
        <f>SUM(L15:M15)</f>
        <v>3750</v>
      </c>
    </row>
    <row r="16" spans="1:15" x14ac:dyDescent="0.25">
      <c r="A16" s="39" t="s">
        <v>51</v>
      </c>
      <c r="E16" s="41">
        <f t="shared" si="0"/>
        <v>5625</v>
      </c>
      <c r="F16" s="41">
        <f t="shared" si="0"/>
        <v>0</v>
      </c>
      <c r="G16" s="48">
        <f>SUM(E16:F16)</f>
        <v>5625</v>
      </c>
      <c r="I16" s="41">
        <f>ROUND(Project_cash_Budget/Total_parties*VLOOKUP($A16,$I$4:$K$9,3,FALSE),0)</f>
        <v>37500</v>
      </c>
      <c r="J16" s="41">
        <f>ROUND(FF_Cash_budget/Total_parties*VLOOKUP($A16,$I$4:$K$9,3,FALSE),0)</f>
        <v>0</v>
      </c>
      <c r="K16" s="27">
        <f>VLOOKUP($A16&amp;" "&amp;$C$4,Participoant_benefits,2,FALSE)</f>
        <v>0.15</v>
      </c>
      <c r="L16" s="42">
        <f t="shared" ref="L16:L18" si="1">I16*$K16</f>
        <v>5625</v>
      </c>
      <c r="M16" s="42">
        <f t="shared" ref="M16:M18" si="2">J16*$K16</f>
        <v>0</v>
      </c>
      <c r="N16" s="42">
        <f>SUM(L16:M16)</f>
        <v>5625</v>
      </c>
    </row>
    <row r="17" spans="1:14" x14ac:dyDescent="0.25">
      <c r="A17" s="39" t="s">
        <v>52</v>
      </c>
      <c r="E17" s="41">
        <f t="shared" si="0"/>
        <v>0</v>
      </c>
      <c r="F17" s="41">
        <f t="shared" si="0"/>
        <v>0</v>
      </c>
      <c r="G17" s="48">
        <f>SUM(E17:F17)</f>
        <v>0</v>
      </c>
      <c r="I17" s="41">
        <f>ROUND(Project_cash_Budget/Total_parties*VLOOKUP($A17,$I$4:$K$9,3,FALSE),0)</f>
        <v>0</v>
      </c>
      <c r="J17" s="41">
        <f>ROUND(FF_Cash_budget/Total_parties*VLOOKUP($A17,$I$4:$K$9,3,FALSE),0)</f>
        <v>0</v>
      </c>
      <c r="K17" s="27">
        <f>VLOOKUP($A17&amp;" "&amp;$C$4,Participoant_benefits,2,FALSE)</f>
        <v>0.2</v>
      </c>
      <c r="L17" s="42">
        <f t="shared" si="1"/>
        <v>0</v>
      </c>
      <c r="M17" s="42">
        <f t="shared" si="2"/>
        <v>0</v>
      </c>
      <c r="N17" s="42">
        <f>SUM(L17:M17)</f>
        <v>0</v>
      </c>
    </row>
    <row r="18" spans="1:14" x14ac:dyDescent="0.25">
      <c r="A18" s="39" t="s">
        <v>53</v>
      </c>
      <c r="E18" s="41">
        <f t="shared" si="0"/>
        <v>0</v>
      </c>
      <c r="F18" s="41">
        <f t="shared" si="0"/>
        <v>0</v>
      </c>
      <c r="G18" s="48">
        <f>SUM(E18:F18)</f>
        <v>0</v>
      </c>
      <c r="I18" s="41">
        <f>ROUND(Project_cash_Budget/Total_parties*VLOOKUP($A18,$I$4:$K$9,3,FALSE),0)</f>
        <v>0</v>
      </c>
      <c r="J18" s="41">
        <f>ROUND(FF_Cash_budget/Total_parties*VLOOKUP($A18,$I$4:$K$9,3,FALSE),0)</f>
        <v>0</v>
      </c>
      <c r="K18" s="27">
        <f>VLOOKUP($A18&amp;" "&amp;$C$4,Participoant_benefits,2,FALSE)</f>
        <v>0.5</v>
      </c>
      <c r="L18" s="42">
        <f t="shared" si="1"/>
        <v>0</v>
      </c>
      <c r="M18" s="42">
        <f t="shared" si="2"/>
        <v>0</v>
      </c>
      <c r="N18" s="42">
        <f>SUM(L18:M18)</f>
        <v>0</v>
      </c>
    </row>
    <row r="19" spans="1:14" ht="15.75" thickBot="1" x14ac:dyDescent="0.3">
      <c r="A19" s="49" t="s">
        <v>54</v>
      </c>
      <c r="B19" s="50"/>
      <c r="C19" s="50"/>
      <c r="D19" s="50"/>
      <c r="E19" s="51">
        <f t="shared" ref="E19:F19" si="3">N19</f>
        <v>0</v>
      </c>
      <c r="F19" s="51">
        <f t="shared" si="3"/>
        <v>0</v>
      </c>
      <c r="G19" s="52">
        <f>SUM(E19:F19)</f>
        <v>0</v>
      </c>
      <c r="I19" s="33"/>
      <c r="J19" s="33"/>
      <c r="K19" s="33"/>
      <c r="L19" s="33"/>
      <c r="M19" s="33"/>
      <c r="N19" s="33"/>
    </row>
    <row r="20" spans="1:14" ht="15.75" thickBot="1" x14ac:dyDescent="0.3"/>
    <row r="21" spans="1:14" ht="19.5" thickBot="1" x14ac:dyDescent="0.3">
      <c r="A21" s="58" t="s">
        <v>65</v>
      </c>
      <c r="B21" s="45"/>
      <c r="C21" s="45"/>
      <c r="D21" s="45"/>
      <c r="E21" s="46">
        <f t="shared" ref="E21:F21" si="4">SUM(E15:E20)</f>
        <v>9375</v>
      </c>
      <c r="F21" s="46">
        <f t="shared" si="4"/>
        <v>0</v>
      </c>
      <c r="G21" s="54">
        <f>SUM(G15:G20)</f>
        <v>9375</v>
      </c>
      <c r="I21" s="42">
        <f>SUM(I15:I20)</f>
        <v>75000</v>
      </c>
      <c r="J21" s="42">
        <f>SUM(J15:J20)</f>
        <v>0</v>
      </c>
      <c r="K21" s="27">
        <f>N21/SUM(I21:J21)</f>
        <v>0.125</v>
      </c>
      <c r="L21" s="42">
        <f>SUM(L15:L20)</f>
        <v>9375</v>
      </c>
      <c r="M21" s="42">
        <f>SUM(M15:M20)</f>
        <v>0</v>
      </c>
      <c r="N21" s="42">
        <f>SUM(N15:N20)</f>
        <v>9375</v>
      </c>
    </row>
    <row r="22" spans="1:14" ht="15.75" thickBot="1" x14ac:dyDescent="0.3">
      <c r="A22" s="53" t="s">
        <v>85</v>
      </c>
      <c r="B22" s="55"/>
      <c r="C22" s="55"/>
      <c r="D22" s="55"/>
      <c r="E22" s="55"/>
      <c r="F22" s="56"/>
      <c r="G22" s="43">
        <f>ROUND(VLOOKUP($C$4,data!$B$79:$C$82,2,FALSE)*Project_cash_Budget,0)</f>
        <v>37500</v>
      </c>
    </row>
    <row r="23" spans="1:14" ht="15.75" thickBot="1" x14ac:dyDescent="0.3">
      <c r="A23" s="53" t="s">
        <v>87</v>
      </c>
      <c r="B23" s="55"/>
      <c r="C23" s="55"/>
      <c r="D23" s="55"/>
      <c r="E23" s="55"/>
      <c r="F23" s="56"/>
      <c r="G23" s="59">
        <f>G22-G21</f>
        <v>28125</v>
      </c>
    </row>
  </sheetData>
  <mergeCells count="7">
    <mergeCell ref="A13:G13"/>
    <mergeCell ref="I13:N13"/>
    <mergeCell ref="I3:J3"/>
    <mergeCell ref="E4:G4"/>
    <mergeCell ref="E5:G5"/>
    <mergeCell ref="E6:G6"/>
    <mergeCell ref="M4:O9"/>
  </mergeCells>
  <dataValidations count="1">
    <dataValidation type="list" allowBlank="1" showInputMessage="1" showErrorMessage="1" sqref="C4" xr:uid="{7C06149C-95D3-471E-A319-BBB132F921A6}">
      <formula1>Project_Type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example graphs</vt:lpstr>
      <vt:lpstr>Instructions</vt:lpstr>
      <vt:lpstr>Cash Contribution Calculator</vt:lpstr>
      <vt:lpstr>Facility Funding</vt:lpstr>
      <vt:lpstr>data</vt:lpstr>
      <vt:lpstr>example data</vt:lpstr>
      <vt:lpstr>Summary</vt:lpstr>
      <vt:lpstr>Facilities</vt:lpstr>
      <vt:lpstr>facility_categories</vt:lpstr>
      <vt:lpstr>FF_Cash_budget</vt:lpstr>
      <vt:lpstr>FFYears</vt:lpstr>
      <vt:lpstr>Participoant_benefits</vt:lpstr>
      <vt:lpstr>'Cash Contribution Calculator'!Project_cash_Budget</vt:lpstr>
      <vt:lpstr>Project_cash_Budget</vt:lpstr>
      <vt:lpstr>Project_Type</vt:lpstr>
      <vt:lpstr>'Cash Contribution Calculator'!Total_parties</vt:lpstr>
      <vt:lpstr>Total_parties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Jeffrey</dc:creator>
  <cp:lastModifiedBy>Reviewer_1</cp:lastModifiedBy>
  <cp:lastPrinted>2019-09-13T00:49:10Z</cp:lastPrinted>
  <dcterms:created xsi:type="dcterms:W3CDTF">2012-01-18T03:25:58Z</dcterms:created>
  <dcterms:modified xsi:type="dcterms:W3CDTF">2025-07-21T05:21:09Z</dcterms:modified>
</cp:coreProperties>
</file>