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1221158\Box\2 APRIL Files\Proposal Types\Innovation\Final\"/>
    </mc:Choice>
  </mc:AlternateContent>
  <xr:revisionPtr revIDLastSave="0" documentId="8_{C0915CD9-2F2D-4BC8-A3E1-E1D414E626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" sheetId="1" r:id="rId1"/>
    <sheet name="Milestones" sheetId="5" r:id="rId2"/>
    <sheet name="Facility funding" sheetId="6" r:id="rId3"/>
    <sheet name="data" sheetId="4" state="hidden" r:id="rId4"/>
  </sheets>
  <definedNames>
    <definedName name="_xlnm._FilterDatabase" localSheetId="3" hidden="1">data!$B$2:$D$37</definedName>
    <definedName name="Facilities">data!$F$48:$F$64</definedName>
    <definedName name="facility_categories">data!$B$48:$B$55</definedName>
    <definedName name="FFYears">data!$G$2:$J$2</definedName>
    <definedName name="_xlnm.Print_Area" localSheetId="0">Budget!$A$1:$L$85</definedName>
    <definedName name="_xlnm.Print_Titles" localSheetId="0">Budget!$1:$11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6" l="1"/>
  <c r="F5" i="6"/>
  <c r="G5" i="6" s="1"/>
  <c r="H5" i="6"/>
  <c r="F6" i="6"/>
  <c r="G6" i="6" s="1"/>
  <c r="H6" i="6"/>
  <c r="I6" i="6"/>
  <c r="F7" i="6"/>
  <c r="G7" i="6" s="1"/>
  <c r="H7" i="6"/>
  <c r="I7" i="6"/>
  <c r="F8" i="6"/>
  <c r="G8" i="6" s="1"/>
  <c r="H8" i="6"/>
  <c r="I8" i="6"/>
  <c r="F9" i="6"/>
  <c r="G9" i="6" s="1"/>
  <c r="H9" i="6"/>
  <c r="I9" i="6"/>
  <c r="F10" i="6"/>
  <c r="G10" i="6" s="1"/>
  <c r="H10" i="6"/>
  <c r="I10" i="6"/>
  <c r="F11" i="6"/>
  <c r="G11" i="6" s="1"/>
  <c r="H11" i="6"/>
  <c r="I11" i="6"/>
  <c r="F12" i="6"/>
  <c r="G12" i="6" s="1"/>
  <c r="H12" i="6"/>
  <c r="I12" i="6"/>
  <c r="F13" i="6"/>
  <c r="G13" i="6" s="1"/>
  <c r="H13" i="6"/>
  <c r="I13" i="6"/>
  <c r="F14" i="6"/>
  <c r="G14" i="6" s="1"/>
  <c r="H14" i="6"/>
  <c r="I14" i="6"/>
  <c r="F15" i="6"/>
  <c r="G15" i="6" s="1"/>
  <c r="H15" i="6"/>
  <c r="I15" i="6"/>
  <c r="F16" i="6"/>
  <c r="G16" i="6" s="1"/>
  <c r="H16" i="6"/>
  <c r="I16" i="6"/>
  <c r="F17" i="6"/>
  <c r="G17" i="6" s="1"/>
  <c r="H17" i="6"/>
  <c r="I17" i="6"/>
  <c r="F18" i="6"/>
  <c r="G18" i="6" s="1"/>
  <c r="H18" i="6"/>
  <c r="I18" i="6"/>
  <c r="F4" i="6"/>
  <c r="G4" i="6" s="1"/>
  <c r="H4" i="6"/>
  <c r="F37" i="4"/>
  <c r="F35" i="4"/>
  <c r="F33" i="4"/>
  <c r="F31" i="4"/>
  <c r="F29" i="4"/>
  <c r="F27" i="4"/>
  <c r="F25" i="4"/>
  <c r="AA37" i="4"/>
  <c r="AA35" i="4"/>
  <c r="AA33" i="4"/>
  <c r="AA31" i="4"/>
  <c r="AA29" i="4"/>
  <c r="AA27" i="4"/>
  <c r="AA25" i="4"/>
  <c r="AB25" i="4" s="1"/>
  <c r="AA23" i="4"/>
  <c r="AB23" i="4" s="1"/>
  <c r="AA21" i="4"/>
  <c r="AB21" i="4" s="1"/>
  <c r="AA19" i="4"/>
  <c r="AB19" i="4" s="1"/>
  <c r="AA17" i="4"/>
  <c r="AB17" i="4" s="1"/>
  <c r="AA15" i="4"/>
  <c r="AB15" i="4" s="1"/>
  <c r="AA13" i="4"/>
  <c r="AB13" i="4" s="1"/>
  <c r="AA11" i="4"/>
  <c r="AB11" i="4" s="1"/>
  <c r="AA9" i="4"/>
  <c r="AB9" i="4" s="1"/>
  <c r="AA7" i="4"/>
  <c r="AB7" i="4" s="1"/>
  <c r="AA5" i="4"/>
  <c r="AB5" i="4" s="1"/>
  <c r="F11" i="4"/>
  <c r="F13" i="4"/>
  <c r="F7" i="4"/>
  <c r="F5" i="4"/>
  <c r="F9" i="4"/>
  <c r="F19" i="4"/>
  <c r="F15" i="4"/>
  <c r="F17" i="4"/>
  <c r="F23" i="4"/>
  <c r="F21" i="4"/>
  <c r="G19" i="4"/>
  <c r="H19" i="4" s="1"/>
  <c r="I19" i="4" s="1"/>
  <c r="J19" i="4" s="1"/>
  <c r="G18" i="4"/>
  <c r="H18" i="4" s="1"/>
  <c r="I18" i="4" s="1"/>
  <c r="J18" i="4" s="1"/>
  <c r="G20" i="6" l="1"/>
  <c r="F20" i="6"/>
  <c r="AB37" i="4"/>
  <c r="AB35" i="4"/>
  <c r="AB33" i="4"/>
  <c r="AB31" i="4"/>
  <c r="AB29" i="4"/>
  <c r="AB27" i="4"/>
  <c r="D20" i="6"/>
  <c r="K47" i="1" l="1"/>
  <c r="K48" i="1"/>
  <c r="K49" i="1"/>
  <c r="K50" i="1"/>
  <c r="K51" i="1"/>
  <c r="K52" i="1"/>
  <c r="K53" i="1"/>
  <c r="K54" i="1"/>
  <c r="K55" i="1"/>
  <c r="J38" i="1" l="1"/>
  <c r="J37" i="1"/>
  <c r="J36" i="1"/>
  <c r="J35" i="1"/>
  <c r="J34" i="1"/>
  <c r="J33" i="1"/>
  <c r="J32" i="1"/>
  <c r="J31" i="1"/>
  <c r="J30" i="1"/>
  <c r="J29" i="1"/>
  <c r="H38" i="1"/>
  <c r="H37" i="1"/>
  <c r="H36" i="1"/>
  <c r="H35" i="1"/>
  <c r="H34" i="1"/>
  <c r="H33" i="1"/>
  <c r="H32" i="1"/>
  <c r="H31" i="1"/>
  <c r="H30" i="1"/>
  <c r="H29" i="1"/>
  <c r="F30" i="1"/>
  <c r="F31" i="1"/>
  <c r="F32" i="1"/>
  <c r="F33" i="1"/>
  <c r="F34" i="1"/>
  <c r="F35" i="1"/>
  <c r="F36" i="1"/>
  <c r="F37" i="1"/>
  <c r="F38" i="1"/>
  <c r="F29" i="1"/>
  <c r="K37" i="1" l="1"/>
  <c r="K33" i="1"/>
  <c r="K15" i="1" l="1"/>
  <c r="G16" i="4"/>
  <c r="H16" i="4" s="1"/>
  <c r="I16" i="4" s="1"/>
  <c r="J16" i="4" s="1"/>
  <c r="H20" i="6" s="1"/>
  <c r="G17" i="4"/>
  <c r="H17" i="4" s="1"/>
  <c r="I17" i="4" s="1"/>
  <c r="J17" i="4" s="1"/>
  <c r="I4" i="6" s="1"/>
  <c r="I20" i="6" s="1"/>
  <c r="G34" i="4"/>
  <c r="H34" i="4" s="1"/>
  <c r="I34" i="4" s="1"/>
  <c r="J34" i="4" s="1"/>
  <c r="G35" i="4"/>
  <c r="H35" i="4" s="1"/>
  <c r="I35" i="4" s="1"/>
  <c r="J35" i="4" s="1"/>
  <c r="G32" i="4"/>
  <c r="H32" i="4" s="1"/>
  <c r="I32" i="4" s="1"/>
  <c r="J32" i="4" s="1"/>
  <c r="G33" i="4"/>
  <c r="H33" i="4" s="1"/>
  <c r="I33" i="4" s="1"/>
  <c r="J33" i="4" s="1"/>
  <c r="G14" i="4"/>
  <c r="H14" i="4" s="1"/>
  <c r="I14" i="4" s="1"/>
  <c r="J14" i="4" s="1"/>
  <c r="G15" i="4"/>
  <c r="H15" i="4" s="1"/>
  <c r="I15" i="4" s="1"/>
  <c r="J15" i="4" s="1"/>
  <c r="G36" i="4"/>
  <c r="H36" i="4" s="1"/>
  <c r="I36" i="4" s="1"/>
  <c r="J36" i="4" s="1"/>
  <c r="G37" i="4"/>
  <c r="H37" i="4" s="1"/>
  <c r="I37" i="4" s="1"/>
  <c r="J37" i="4" s="1"/>
  <c r="H8" i="4"/>
  <c r="I8" i="4" s="1"/>
  <c r="J8" i="4" s="1"/>
  <c r="G9" i="4"/>
  <c r="H9" i="4" s="1"/>
  <c r="I9" i="4" s="1"/>
  <c r="J9" i="4" s="1"/>
  <c r="G22" i="4"/>
  <c r="H22" i="4" s="1"/>
  <c r="I22" i="4" s="1"/>
  <c r="J22" i="4" s="1"/>
  <c r="G23" i="4"/>
  <c r="H23" i="4" s="1"/>
  <c r="I23" i="4" s="1"/>
  <c r="J23" i="4" s="1"/>
  <c r="G26" i="4"/>
  <c r="H26" i="4" s="1"/>
  <c r="I26" i="4" s="1"/>
  <c r="J26" i="4" s="1"/>
  <c r="G27" i="4"/>
  <c r="H27" i="4" s="1"/>
  <c r="I27" i="4" s="1"/>
  <c r="J27" i="4" s="1"/>
  <c r="G28" i="4"/>
  <c r="H28" i="4" s="1"/>
  <c r="I28" i="4" s="1"/>
  <c r="J28" i="4" s="1"/>
  <c r="G29" i="4"/>
  <c r="H29" i="4" s="1"/>
  <c r="I29" i="4" s="1"/>
  <c r="J29" i="4" s="1"/>
  <c r="G4" i="4"/>
  <c r="H4" i="4" s="1"/>
  <c r="I4" i="4" s="1"/>
  <c r="J4" i="4" s="1"/>
  <c r="G5" i="4"/>
  <c r="H5" i="4" s="1"/>
  <c r="I5" i="4" s="1"/>
  <c r="J5" i="4" s="1"/>
  <c r="G6" i="4"/>
  <c r="H6" i="4" s="1"/>
  <c r="I6" i="4" s="1"/>
  <c r="J6" i="4" s="1"/>
  <c r="G7" i="4"/>
  <c r="H7" i="4" s="1"/>
  <c r="I7" i="4" s="1"/>
  <c r="J7" i="4" s="1"/>
  <c r="G20" i="4"/>
  <c r="H20" i="4" s="1"/>
  <c r="I20" i="4" s="1"/>
  <c r="J20" i="4" s="1"/>
  <c r="G21" i="4"/>
  <c r="H21" i="4" s="1"/>
  <c r="I21" i="4" s="1"/>
  <c r="J21" i="4" s="1"/>
  <c r="G24" i="4"/>
  <c r="H24" i="4" s="1"/>
  <c r="I24" i="4" s="1"/>
  <c r="J24" i="4" s="1"/>
  <c r="G25" i="4"/>
  <c r="H25" i="4" s="1"/>
  <c r="I25" i="4" s="1"/>
  <c r="J25" i="4" s="1"/>
  <c r="G12" i="4"/>
  <c r="H12" i="4" s="1"/>
  <c r="I12" i="4" s="1"/>
  <c r="J12" i="4" s="1"/>
  <c r="G13" i="4"/>
  <c r="H13" i="4" s="1"/>
  <c r="I13" i="4" s="1"/>
  <c r="J13" i="4" s="1"/>
  <c r="G30" i="4"/>
  <c r="H30" i="4" s="1"/>
  <c r="I30" i="4" s="1"/>
  <c r="J30" i="4" s="1"/>
  <c r="G31" i="4"/>
  <c r="H31" i="4" s="1"/>
  <c r="I31" i="4" s="1"/>
  <c r="J31" i="4" s="1"/>
  <c r="H10" i="4"/>
  <c r="I10" i="4" s="1"/>
  <c r="J10" i="4" s="1"/>
  <c r="G11" i="4"/>
  <c r="H11" i="4" s="1"/>
  <c r="I11" i="4" s="1"/>
  <c r="J11" i="4" s="1"/>
  <c r="F63" i="4"/>
  <c r="F51" i="4"/>
  <c r="F41" i="1" l="1"/>
  <c r="C63" i="1"/>
  <c r="K35" i="1" l="1"/>
  <c r="K34" i="1"/>
  <c r="K36" i="1"/>
  <c r="F22" i="1"/>
  <c r="H22" i="1"/>
  <c r="J22" i="1"/>
  <c r="K46" i="1"/>
  <c r="K30" i="1"/>
  <c r="K38" i="1"/>
  <c r="K16" i="1"/>
  <c r="K17" i="1"/>
  <c r="K18" i="1"/>
  <c r="K19" i="1"/>
  <c r="H57" i="1"/>
  <c r="F57" i="1"/>
  <c r="J41" i="1"/>
  <c r="K31" i="1" l="1"/>
  <c r="K29" i="1"/>
  <c r="K32" i="1"/>
  <c r="H41" i="1"/>
  <c r="H58" i="1" s="1"/>
  <c r="F58" i="1"/>
  <c r="K41" i="1" l="1"/>
  <c r="J57" i="1"/>
  <c r="F56" i="4" l="1"/>
  <c r="F57" i="4"/>
  <c r="F58" i="4"/>
  <c r="F59" i="4"/>
  <c r="F60" i="4"/>
  <c r="F61" i="4"/>
  <c r="F62" i="4"/>
  <c r="F64" i="4"/>
  <c r="F53" i="4"/>
  <c r="F55" i="4"/>
  <c r="F50" i="4"/>
  <c r="F48" i="4"/>
  <c r="F49" i="4"/>
  <c r="F52" i="4"/>
  <c r="F54" i="4"/>
  <c r="D15" i="1" l="1"/>
  <c r="K57" i="1" l="1"/>
  <c r="K22" i="1"/>
  <c r="K23" i="1" s="1"/>
  <c r="L23" i="1" s="1"/>
  <c r="J58" i="1" l="1"/>
  <c r="K58" i="1"/>
  <c r="C75" i="1"/>
</calcChain>
</file>

<file path=xl/sharedStrings.xml><?xml version="1.0" encoding="utf-8"?>
<sst xmlns="http://schemas.openxmlformats.org/spreadsheetml/2006/main" count="306" uniqueCount="95">
  <si>
    <t>PROPOSED PROJECT BUDGET</t>
  </si>
  <si>
    <t>Totals</t>
  </si>
  <si>
    <t>External Cash Commitment</t>
  </si>
  <si>
    <t>Other - Non-Staff</t>
  </si>
  <si>
    <t>PROPOSED PROJECT MILESTONES</t>
  </si>
  <si>
    <t>Task Name</t>
  </si>
  <si>
    <t>Description</t>
  </si>
  <si>
    <t>End Date</t>
  </si>
  <si>
    <t>Project Title</t>
  </si>
  <si>
    <t>Project Leader</t>
  </si>
  <si>
    <t>Lead Organisation</t>
  </si>
  <si>
    <t>Comments</t>
  </si>
  <si>
    <t>Cash Project Funding</t>
  </si>
  <si>
    <t xml:space="preserve">Total Cash Project Funding </t>
  </si>
  <si>
    <t xml:space="preserve">Total In-Kind Project Funding </t>
  </si>
  <si>
    <t>$</t>
  </si>
  <si>
    <t>Paid to</t>
  </si>
  <si>
    <t xml:space="preserve">Notes - </t>
  </si>
  <si>
    <t>Eg: If a person is to work on the project 10% of their time in Q1; 20% of their time in Q2; not at all in Q3 and 30% in Q4 then record (10%+20%+0%+30%)/4 = 15% as the FTE for the relevant year.</t>
  </si>
  <si>
    <t>Organisation provided by</t>
  </si>
  <si>
    <t>Total Other In-Kind contributions</t>
  </si>
  <si>
    <t>Total Staff in-kind contributions</t>
  </si>
  <si>
    <t>Financial Year</t>
  </si>
  <si>
    <t>Number of base experiments</t>
  </si>
  <si>
    <t>BF_Cash_FTE_value</t>
  </si>
  <si>
    <t>Rivalea</t>
  </si>
  <si>
    <t>Roseworthy</t>
  </si>
  <si>
    <t>Facility</t>
  </si>
  <si>
    <t>Budget Type</t>
  </si>
  <si>
    <t>Location / Facility type</t>
  </si>
  <si>
    <t>Cash Cost $</t>
  </si>
  <si>
    <t xml:space="preserve">APRIL Cash Requested </t>
  </si>
  <si>
    <t>APRIL</t>
  </si>
  <si>
    <t>Enter organisation providing funds</t>
  </si>
  <si>
    <t>Average Annual Cost</t>
  </si>
  <si>
    <t>Name / Organisation</t>
  </si>
  <si>
    <t>Person Name / Organisation</t>
  </si>
  <si>
    <t>Total</t>
  </si>
  <si>
    <t xml:space="preserve">4. FTE figures are annual so adjust accordingly if person is not working on the project for the whole year. </t>
  </si>
  <si>
    <t>5. Enter the researcher's estimated average annual cost over the life of the project (including directly attributable salary overheads)</t>
  </si>
  <si>
    <t>6. Enter the Proposed Project Shares. Default position is 100% APRIL ownership.</t>
  </si>
  <si>
    <t>Staff</t>
  </si>
  <si>
    <t>In-kind $</t>
  </si>
  <si>
    <t>BF Inkind</t>
  </si>
  <si>
    <t>BF Cash</t>
  </si>
  <si>
    <t>Location</t>
  </si>
  <si>
    <t>Proposed Project Share %</t>
  </si>
  <si>
    <t>Organisation</t>
  </si>
  <si>
    <t>Australasian Pork Research Institute Ltd ('APRIL') Proposal - Budget</t>
  </si>
  <si>
    <r>
      <t xml:space="preserve">In-Kind Contributions </t>
    </r>
    <r>
      <rPr>
        <b/>
        <vertAlign val="superscript"/>
        <sz val="11"/>
        <color theme="0"/>
        <rFont val="Calibri"/>
        <family val="2"/>
        <scheme val="minor"/>
      </rPr>
      <t>Note 2</t>
    </r>
  </si>
  <si>
    <r>
      <t xml:space="preserve">Average Annual Cost $ </t>
    </r>
    <r>
      <rPr>
        <b/>
        <vertAlign val="superscript"/>
        <sz val="11"/>
        <color theme="0"/>
        <rFont val="Calibri"/>
        <family val="2"/>
        <scheme val="minor"/>
      </rPr>
      <t>Note 5</t>
    </r>
  </si>
  <si>
    <r>
      <t xml:space="preserve">FTE </t>
    </r>
    <r>
      <rPr>
        <b/>
        <vertAlign val="superscript"/>
        <sz val="11"/>
        <color theme="0"/>
        <rFont val="Calibri"/>
        <family val="2"/>
        <scheme val="minor"/>
      </rPr>
      <t>Note 4</t>
    </r>
  </si>
  <si>
    <r>
      <t xml:space="preserve">Project Shares </t>
    </r>
    <r>
      <rPr>
        <b/>
        <vertAlign val="superscript"/>
        <sz val="11"/>
        <color theme="0"/>
        <rFont val="Calibri"/>
        <family val="2"/>
        <scheme val="minor"/>
      </rPr>
      <t>Note 6</t>
    </r>
  </si>
  <si>
    <r>
      <t>3. "</t>
    </r>
    <r>
      <rPr>
        <b/>
        <sz val="11"/>
        <color rgb="FFFF0000"/>
        <rFont val="Calibri"/>
        <family val="2"/>
        <scheme val="minor"/>
      </rPr>
      <t>Organisation provided by</t>
    </r>
    <r>
      <rPr>
        <sz val="11"/>
        <color rgb="FFFF0000"/>
        <rFont val="Calibri"/>
        <family val="2"/>
        <scheme val="minor"/>
      </rPr>
      <t>" can be different from the organisation employing the personnel eg where a sub-contractor or consultant is provided to the project</t>
    </r>
  </si>
  <si>
    <t>PROPOSED FACILITY FUNDING USAGE</t>
  </si>
  <si>
    <t>2022/23</t>
  </si>
  <si>
    <t>2024/25</t>
  </si>
  <si>
    <t>2025/26</t>
  </si>
  <si>
    <t>1. Loose Farrowing and Lactation Studies - SWAP / Pig Safe / Group Lactation</t>
  </si>
  <si>
    <t>2. Commercial Lactation Studies</t>
  </si>
  <si>
    <t>3. Commercial gestating sow studies - Group pen or ESF</t>
  </si>
  <si>
    <t>4. Weaner Discovery Facility - R&amp;I specialized facility</t>
  </si>
  <si>
    <t>5. Weaner Studies - Commercial pens</t>
  </si>
  <si>
    <t>6. Grower Finisher: Individual - R&amp;I specialized facility</t>
  </si>
  <si>
    <t>7. Grower Finisher: Commercial or Big Dutchman - Nutritional evaluations</t>
  </si>
  <si>
    <t>8. Meat Science and Quality</t>
  </si>
  <si>
    <t>2026/27</t>
  </si>
  <si>
    <t>SunPork</t>
  </si>
  <si>
    <t>1. Sow Model - Lactating studies, Farrowing house</t>
  </si>
  <si>
    <t>4. Weaner Model - Group</t>
  </si>
  <si>
    <t>5. Grower Finisher Model - Group Pen, Westbrook</t>
  </si>
  <si>
    <t>6. Grower Finisher Model - Group Pen, Brinkley</t>
  </si>
  <si>
    <t>7. Meat carcase and quality assessment</t>
  </si>
  <si>
    <t>2. Sow model - Group pen gestating</t>
  </si>
  <si>
    <t>2. Sow Model - Free movement farrowing crates</t>
  </si>
  <si>
    <t>3. Sow Model - Group pen gestating, ESF</t>
  </si>
  <si>
    <t>Cat1</t>
  </si>
  <si>
    <t>Cat2</t>
  </si>
  <si>
    <t>Cat3</t>
  </si>
  <si>
    <t>Cat4</t>
  </si>
  <si>
    <t>Other</t>
  </si>
  <si>
    <t>Check</t>
  </si>
  <si>
    <t>FY 2024/25</t>
  </si>
  <si>
    <t>FTE_value</t>
  </si>
  <si>
    <t>FY 2025/26</t>
  </si>
  <si>
    <t>RE [FTE] / expt</t>
  </si>
  <si>
    <t>Total RE [FTE]</t>
  </si>
  <si>
    <t>FY 2024/2025</t>
  </si>
  <si>
    <t>FY 2026/27</t>
  </si>
  <si>
    <t>2027/28</t>
  </si>
  <si>
    <r>
      <t xml:space="preserve">Paid by </t>
    </r>
    <r>
      <rPr>
        <b/>
        <vertAlign val="superscript"/>
        <sz val="11"/>
        <color theme="0"/>
        <rFont val="Calibri"/>
        <family val="2"/>
        <scheme val="minor"/>
      </rPr>
      <t>NOTE 1</t>
    </r>
  </si>
  <si>
    <r>
      <t xml:space="preserve">Organisation provided by </t>
    </r>
    <r>
      <rPr>
        <b/>
        <vertAlign val="superscript"/>
        <sz val="11"/>
        <color theme="0"/>
        <rFont val="Calibri"/>
        <family val="2"/>
        <scheme val="minor"/>
      </rPr>
      <t>Note 3</t>
    </r>
  </si>
  <si>
    <t>1. External Cash Commitments are calculated using the Cash Contribution Calculator, which will determine the cash contributiion  Participant tier: Gold, Silver, Bronze, Non-Participant</t>
  </si>
  <si>
    <t>2. Do not include Facility funding in-kind contributions in the table above - these are captured on the "Facility funding" tab</t>
  </si>
  <si>
    <t>External funds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</si>
</sst>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5" formatCode="[$-C09]dd\-mmmm\-yyyy;@"/>
    <numFmt numFmtId="166" formatCode="0.000"/>
    <numFmt numFmtId="167" formatCode="_-* #,##0_-;\-* #,##0_-;_-* &quot;-&quot;??_-;_-@_-"/>
    <numFmt numFmtId="168" formatCode="_-* #,##0.0_-;\-* #,##0.0_-;_-* &quot;-&quot;??_-;_-@_-"/>
    <numFmt numFmtId="169" formatCode="_-* &quot;$&quot;#,##0_-;\-* #,##0_-;_-* &quot;-&quot;??_-;_-@_-"/>
    <numFmt numFmtId="170" formatCode="_-&quot;$&quot;* #,##0_-;\-&quot;$&quot;* #,##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3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i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79B"/>
        <bgColor indexed="64"/>
      </patternFill>
    </fill>
    <fill>
      <patternFill patternType="solid">
        <fgColor rgb="FF90B6E4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6" fillId="6" borderId="11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left"/>
    </xf>
    <xf numFmtId="166" fontId="7" fillId="0" borderId="11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167" fontId="7" fillId="0" borderId="11" xfId="2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65" fontId="4" fillId="4" borderId="5" xfId="1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center" vertical="center"/>
    </xf>
    <xf numFmtId="0" fontId="4" fillId="4" borderId="1" xfId="1" applyNumberFormat="1" applyFont="1" applyFill="1" applyBorder="1" applyAlignment="1" applyProtection="1">
      <alignment wrapText="1"/>
      <protection locked="0"/>
    </xf>
    <xf numFmtId="0" fontId="4" fillId="4" borderId="5" xfId="1" applyNumberFormat="1" applyFont="1" applyFill="1" applyBorder="1" applyAlignment="1" applyProtection="1">
      <alignment horizontal="left" vertical="center" wrapText="1"/>
      <protection locked="0"/>
    </xf>
    <xf numFmtId="0" fontId="4" fillId="4" borderId="5" xfId="1" applyNumberFormat="1" applyFont="1" applyFill="1" applyBorder="1" applyAlignment="1" applyProtection="1">
      <alignment horizontal="center" wrapText="1"/>
      <protection locked="0"/>
    </xf>
    <xf numFmtId="0" fontId="4" fillId="4" borderId="5" xfId="1" applyNumberFormat="1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65" fontId="8" fillId="4" borderId="5" xfId="1" applyNumberFormat="1" applyFont="1" applyFill="1" applyBorder="1" applyAlignment="1" applyProtection="1">
      <alignment horizontal="left"/>
      <protection locked="0"/>
    </xf>
    <xf numFmtId="168" fontId="8" fillId="4" borderId="1" xfId="2" applyNumberFormat="1" applyFont="1" applyFill="1" applyBorder="1" applyProtection="1">
      <protection locked="0"/>
    </xf>
    <xf numFmtId="164" fontId="0" fillId="5" borderId="1" xfId="1" applyNumberFormat="1" applyFont="1" applyFill="1" applyBorder="1" applyAlignment="1">
      <alignment horizontal="center" vertical="center"/>
    </xf>
    <xf numFmtId="0" fontId="0" fillId="0" borderId="11" xfId="0" applyBorder="1"/>
    <xf numFmtId="164" fontId="0" fillId="0" borderId="11" xfId="0" applyNumberFormat="1" applyBorder="1"/>
    <xf numFmtId="43" fontId="0" fillId="0" borderId="11" xfId="2" applyFont="1" applyBorder="1"/>
    <xf numFmtId="2" fontId="0" fillId="0" borderId="11" xfId="2" applyNumberFormat="1" applyFont="1" applyBorder="1"/>
    <xf numFmtId="2" fontId="7" fillId="0" borderId="11" xfId="2" applyNumberFormat="1" applyFont="1" applyFill="1" applyBorder="1" applyAlignment="1">
      <alignment horizontal="right"/>
    </xf>
    <xf numFmtId="0" fontId="8" fillId="4" borderId="1" xfId="1" applyNumberFormat="1" applyFont="1" applyFill="1" applyBorder="1" applyAlignment="1" applyProtection="1">
      <alignment horizontal="center" vertical="center"/>
      <protection locked="0"/>
    </xf>
    <xf numFmtId="0" fontId="0" fillId="3" borderId="1" xfId="1" applyNumberFormat="1" applyFont="1" applyFill="1" applyBorder="1" applyAlignment="1" applyProtection="1">
      <alignment horizontal="center" vertical="center"/>
    </xf>
    <xf numFmtId="0" fontId="0" fillId="3" borderId="1" xfId="1" applyNumberFormat="1" applyFont="1" applyFill="1" applyBorder="1" applyAlignment="1" applyProtection="1">
      <alignment horizontal="center" vertical="center" wrapText="1"/>
    </xf>
    <xf numFmtId="0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164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2" borderId="5" xfId="1" applyNumberFormat="1" applyFont="1" applyFill="1" applyBorder="1" applyAlignment="1" applyProtection="1">
      <alignment horizontal="center" vertical="center" wrapText="1"/>
    </xf>
    <xf numFmtId="5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164" fontId="2" fillId="2" borderId="0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64" fontId="0" fillId="4" borderId="1" xfId="1" applyNumberFormat="1" applyFont="1" applyFill="1" applyBorder="1" applyAlignment="1" applyProtection="1">
      <alignment horizontal="center" vertical="center"/>
      <protection locked="0"/>
    </xf>
    <xf numFmtId="0" fontId="0" fillId="4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</xf>
    <xf numFmtId="0" fontId="0" fillId="0" borderId="1" xfId="1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9" fontId="0" fillId="4" borderId="1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9" fontId="2" fillId="2" borderId="1" xfId="3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4" fontId="8" fillId="4" borderId="1" xfId="1" applyFont="1" applyFill="1" applyBorder="1" applyAlignment="1" applyProtection="1">
      <alignment horizontal="center" vertical="center"/>
      <protection locked="0"/>
    </xf>
    <xf numFmtId="9" fontId="11" fillId="4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19" xfId="1" applyNumberFormat="1" applyFont="1" applyFill="1" applyBorder="1" applyAlignment="1" applyProtection="1">
      <alignment horizontal="center" vertical="center" wrapText="1"/>
    </xf>
    <xf numFmtId="0" fontId="2" fillId="2" borderId="17" xfId="1" applyNumberFormat="1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18" xfId="3" applyNumberFormat="1" applyFont="1" applyFill="1" applyBorder="1" applyAlignment="1" applyProtection="1">
      <alignment horizontal="center" vertical="center" wrapText="1"/>
    </xf>
    <xf numFmtId="9" fontId="2" fillId="2" borderId="18" xfId="3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top" wrapText="1"/>
    </xf>
    <xf numFmtId="0" fontId="15" fillId="0" borderId="0" xfId="0" applyFont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10" fontId="2" fillId="2" borderId="0" xfId="3" applyNumberFormat="1" applyFont="1" applyFill="1" applyBorder="1" applyAlignment="1" applyProtection="1">
      <alignment horizontal="center" vertical="center"/>
    </xf>
    <xf numFmtId="0" fontId="0" fillId="0" borderId="0" xfId="0" applyAlignment="1">
      <alignment wrapText="1"/>
    </xf>
    <xf numFmtId="168" fontId="2" fillId="2" borderId="0" xfId="0" applyNumberFormat="1" applyFont="1" applyFill="1" applyAlignment="1">
      <alignment horizontal="left" vertical="center"/>
    </xf>
    <xf numFmtId="169" fontId="2" fillId="2" borderId="0" xfId="0" applyNumberFormat="1" applyFont="1" applyFill="1" applyAlignment="1">
      <alignment horizontal="left" vertical="center"/>
    </xf>
    <xf numFmtId="0" fontId="11" fillId="0" borderId="0" xfId="0" applyFont="1"/>
    <xf numFmtId="43" fontId="11" fillId="0" borderId="11" xfId="2" applyFont="1" applyBorder="1"/>
    <xf numFmtId="164" fontId="11" fillId="0" borderId="11" xfId="0" applyNumberFormat="1" applyFont="1" applyBorder="1"/>
    <xf numFmtId="2" fontId="11" fillId="0" borderId="11" xfId="2" applyNumberFormat="1" applyFont="1" applyBorder="1"/>
    <xf numFmtId="2" fontId="6" fillId="0" borderId="11" xfId="2" applyNumberFormat="1" applyFont="1" applyFill="1" applyBorder="1" applyAlignment="1">
      <alignment horizontal="right"/>
    </xf>
    <xf numFmtId="170" fontId="0" fillId="0" borderId="0" xfId="1" applyNumberFormat="1" applyFont="1" applyAlignment="1">
      <alignment horizontal="center" vertical="center"/>
    </xf>
    <xf numFmtId="170" fontId="0" fillId="0" borderId="0" xfId="0" applyNumberFormat="1"/>
    <xf numFmtId="9" fontId="0" fillId="5" borderId="1" xfId="3" applyFont="1" applyFill="1" applyBorder="1" applyAlignment="1">
      <alignment horizontal="center" vertical="center"/>
    </xf>
    <xf numFmtId="9" fontId="0" fillId="0" borderId="0" xfId="3" applyFont="1"/>
    <xf numFmtId="9" fontId="2" fillId="2" borderId="0" xfId="3" applyFont="1" applyFill="1" applyAlignment="1">
      <alignment horizontal="center" vertical="center"/>
    </xf>
    <xf numFmtId="44" fontId="0" fillId="0" borderId="0" xfId="0" applyNumberFormat="1"/>
    <xf numFmtId="43" fontId="10" fillId="0" borderId="11" xfId="2" applyFont="1" applyBorder="1"/>
    <xf numFmtId="0" fontId="8" fillId="4" borderId="5" xfId="1" applyNumberFormat="1" applyFont="1" applyFill="1" applyBorder="1" applyAlignment="1" applyProtection="1">
      <alignment horizontal="center" vertical="center"/>
      <protection locked="0"/>
    </xf>
    <xf numFmtId="0" fontId="8" fillId="4" borderId="7" xfId="1" applyNumberFormat="1" applyFont="1" applyFill="1" applyBorder="1" applyAlignment="1" applyProtection="1">
      <alignment horizontal="center" vertical="center"/>
      <protection locked="0"/>
    </xf>
    <xf numFmtId="0" fontId="8" fillId="4" borderId="6" xfId="1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1" applyNumberFormat="1" applyFont="1" applyFill="1" applyBorder="1" applyAlignment="1" applyProtection="1">
      <alignment horizontal="center" vertical="center"/>
    </xf>
    <xf numFmtId="0" fontId="0" fillId="3" borderId="10" xfId="1" applyNumberFormat="1" applyFont="1" applyFill="1" applyBorder="1" applyAlignment="1" applyProtection="1">
      <alignment horizontal="center" vertical="center"/>
    </xf>
    <xf numFmtId="0" fontId="0" fillId="3" borderId="21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4" fontId="8" fillId="4" borderId="5" xfId="1" applyFont="1" applyFill="1" applyBorder="1" applyAlignment="1" applyProtection="1">
      <alignment horizontal="center"/>
      <protection locked="0"/>
    </xf>
    <xf numFmtId="44" fontId="8" fillId="4" borderId="6" xfId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7"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</xdr:col>
      <xdr:colOff>1278255</xdr:colOff>
      <xdr:row>4</xdr:row>
      <xdr:rowOff>121920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7432"/>
        <a:stretch/>
      </xdr:blipFill>
      <xdr:spPr bwMode="auto">
        <a:xfrm>
          <a:off x="47625" y="57150"/>
          <a:ext cx="1325880" cy="10363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3:Z85"/>
  <sheetViews>
    <sheetView showGridLines="0" tabSelected="1" zoomScaleNormal="100" workbookViewId="0">
      <selection activeCell="L24" sqref="L24"/>
    </sheetView>
  </sheetViews>
  <sheetFormatPr defaultColWidth="9.140625" defaultRowHeight="15" x14ac:dyDescent="0.25"/>
  <cols>
    <col min="1" max="1" width="1.42578125" style="6" customWidth="1"/>
    <col min="2" max="2" width="30" style="6" customWidth="1"/>
    <col min="3" max="3" width="28.42578125" style="6" customWidth="1"/>
    <col min="4" max="4" width="13.7109375" style="6" customWidth="1"/>
    <col min="5" max="5" width="14.28515625" style="6" bestFit="1" customWidth="1"/>
    <col min="6" max="6" width="18.7109375" style="6" customWidth="1"/>
    <col min="7" max="7" width="14.28515625" style="6" customWidth="1"/>
    <col min="8" max="8" width="16" style="6" customWidth="1"/>
    <col min="9" max="9" width="10.42578125" style="6" bestFit="1" customWidth="1"/>
    <col min="10" max="10" width="16" style="6" customWidth="1"/>
    <col min="11" max="11" width="14.28515625" style="6" bestFit="1" customWidth="1"/>
    <col min="12" max="12" width="24.42578125" style="6" customWidth="1"/>
    <col min="13" max="13" width="1.42578125" style="6" customWidth="1"/>
    <col min="14" max="14" width="9.140625" style="6"/>
    <col min="27" max="16384" width="9.140625" style="6"/>
  </cols>
  <sheetData>
    <row r="3" spans="2:26" ht="31.5" x14ac:dyDescent="0.25">
      <c r="C3" s="71" t="s">
        <v>48</v>
      </c>
    </row>
    <row r="4" spans="2:26" x14ac:dyDescent="0.25">
      <c r="C4" s="38"/>
    </row>
    <row r="6" spans="2:26" x14ac:dyDescent="0.25">
      <c r="B6" s="7" t="s">
        <v>8</v>
      </c>
      <c r="C6" s="89"/>
      <c r="D6" s="90"/>
      <c r="E6" s="90"/>
      <c r="F6" s="90"/>
      <c r="G6" s="90"/>
      <c r="H6" s="90"/>
      <c r="I6" s="90"/>
      <c r="J6" s="90"/>
      <c r="K6" s="90"/>
      <c r="L6" s="91"/>
    </row>
    <row r="7" spans="2:26" x14ac:dyDescent="0.25">
      <c r="B7" s="7" t="s">
        <v>9</v>
      </c>
      <c r="C7" s="89"/>
      <c r="D7" s="90"/>
      <c r="E7" s="90"/>
      <c r="F7" s="90"/>
      <c r="G7" s="90"/>
      <c r="H7" s="90"/>
      <c r="I7" s="90"/>
      <c r="J7" s="90"/>
      <c r="K7" s="90"/>
      <c r="L7" s="91"/>
    </row>
    <row r="8" spans="2:26" x14ac:dyDescent="0.25">
      <c r="B8" s="36" t="s">
        <v>10</v>
      </c>
      <c r="C8" s="89"/>
      <c r="D8" s="90"/>
      <c r="E8" s="90"/>
      <c r="F8" s="90"/>
      <c r="G8" s="90"/>
      <c r="H8" s="90"/>
      <c r="I8" s="90"/>
      <c r="J8" s="90"/>
      <c r="K8" s="90"/>
      <c r="L8" s="91"/>
    </row>
    <row r="9" spans="2:26" ht="3.75" customHeight="1" x14ac:dyDescent="0.25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2:26" ht="22.9" customHeight="1" x14ac:dyDescent="0.25">
      <c r="B10" s="72" t="s">
        <v>0</v>
      </c>
      <c r="C10" s="40"/>
      <c r="D10" s="41"/>
      <c r="E10" s="41"/>
      <c r="F10" s="41"/>
      <c r="G10" s="41"/>
      <c r="H10" s="41"/>
      <c r="I10" s="41"/>
      <c r="J10" s="41"/>
      <c r="K10" s="41"/>
      <c r="L10" s="42"/>
    </row>
    <row r="11" spans="2:26" ht="3.75" customHeight="1" x14ac:dyDescent="0.25"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2:26" ht="28.15" customHeight="1" x14ac:dyDescent="0.25">
      <c r="B12" s="97" t="s">
        <v>12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2:26" ht="17.25" x14ac:dyDescent="0.25">
      <c r="B13" s="37" t="s">
        <v>6</v>
      </c>
      <c r="C13" s="37" t="s">
        <v>90</v>
      </c>
      <c r="D13" s="37" t="s">
        <v>16</v>
      </c>
      <c r="E13" s="37"/>
      <c r="F13" s="37" t="s">
        <v>87</v>
      </c>
      <c r="G13" s="37"/>
      <c r="H13" s="37" t="s">
        <v>84</v>
      </c>
      <c r="I13" s="37"/>
      <c r="J13" s="37" t="s">
        <v>88</v>
      </c>
      <c r="K13" s="7" t="s">
        <v>1</v>
      </c>
      <c r="L13" s="43" t="s">
        <v>11</v>
      </c>
    </row>
    <row r="14" spans="2:26" x14ac:dyDescent="0.25">
      <c r="B14" s="27"/>
      <c r="C14" s="27"/>
      <c r="D14" s="27"/>
      <c r="E14" s="7"/>
      <c r="F14" s="7" t="s">
        <v>15</v>
      </c>
      <c r="G14" s="7"/>
      <c r="H14" s="7" t="s">
        <v>15</v>
      </c>
      <c r="I14" s="7"/>
      <c r="J14" s="7" t="s">
        <v>15</v>
      </c>
      <c r="K14" s="7" t="s">
        <v>15</v>
      </c>
    </row>
    <row r="15" spans="2:26" ht="28.9" customHeight="1" x14ac:dyDescent="0.25">
      <c r="B15" s="10" t="s">
        <v>31</v>
      </c>
      <c r="C15" s="27" t="s">
        <v>32</v>
      </c>
      <c r="D15" s="28" t="str">
        <f>IF($C$8="","",$C$8)</f>
        <v/>
      </c>
      <c r="E15" s="28"/>
      <c r="F15" s="44"/>
      <c r="G15" s="28"/>
      <c r="H15" s="44"/>
      <c r="I15" s="28"/>
      <c r="J15" s="44"/>
      <c r="K15" s="32">
        <f>SUMIF($E$14:$J$14,$K$14,$E15:$J15)</f>
        <v>0</v>
      </c>
      <c r="L15" s="45"/>
    </row>
    <row r="16" spans="2:26" ht="30.4" customHeight="1" x14ac:dyDescent="0.25">
      <c r="B16" s="10" t="s">
        <v>2</v>
      </c>
      <c r="C16" s="29" t="s">
        <v>33</v>
      </c>
      <c r="D16" s="27" t="s">
        <v>32</v>
      </c>
      <c r="E16" s="28"/>
      <c r="F16" s="44"/>
      <c r="G16" s="28"/>
      <c r="H16" s="44"/>
      <c r="I16" s="28"/>
      <c r="J16" s="44"/>
      <c r="K16" s="32">
        <f>SUMIF($E$14:$J$14,$K$14,$E16:$J16)</f>
        <v>0</v>
      </c>
      <c r="L16" s="45"/>
    </row>
    <row r="17" spans="2:12" ht="30.4" customHeight="1" x14ac:dyDescent="0.25">
      <c r="B17" s="10" t="s">
        <v>2</v>
      </c>
      <c r="C17" s="29" t="s">
        <v>33</v>
      </c>
      <c r="D17" s="27" t="s">
        <v>32</v>
      </c>
      <c r="E17" s="28"/>
      <c r="F17" s="44"/>
      <c r="G17" s="28"/>
      <c r="H17" s="44"/>
      <c r="I17" s="28"/>
      <c r="J17" s="44"/>
      <c r="K17" s="32">
        <f>SUMIF($E$14:$J$14,$K$14,$E17:$J17)</f>
        <v>0</v>
      </c>
      <c r="L17" s="45"/>
    </row>
    <row r="18" spans="2:12" ht="30.4" customHeight="1" x14ac:dyDescent="0.25">
      <c r="B18" s="10" t="s">
        <v>2</v>
      </c>
      <c r="C18" s="29" t="s">
        <v>33</v>
      </c>
      <c r="D18" s="27" t="s">
        <v>32</v>
      </c>
      <c r="E18" s="28"/>
      <c r="F18" s="44"/>
      <c r="G18" s="28"/>
      <c r="H18" s="44"/>
      <c r="I18" s="28"/>
      <c r="J18" s="44"/>
      <c r="K18" s="32">
        <f>SUMIF($E$14:$J$14,$K$14,$E18:$J18)</f>
        <v>0</v>
      </c>
      <c r="L18" s="45"/>
    </row>
    <row r="19" spans="2:12" ht="30.4" customHeight="1" x14ac:dyDescent="0.25">
      <c r="B19" s="10" t="s">
        <v>2</v>
      </c>
      <c r="C19" s="29" t="s">
        <v>33</v>
      </c>
      <c r="D19" s="27" t="s">
        <v>32</v>
      </c>
      <c r="E19" s="28"/>
      <c r="F19" s="44"/>
      <c r="G19" s="28"/>
      <c r="H19" s="44"/>
      <c r="I19" s="28"/>
      <c r="J19" s="44"/>
      <c r="K19" s="32">
        <f>SUMIF($E$14:$J$14,$K$14,$E19:$J19)</f>
        <v>0</v>
      </c>
      <c r="L19" s="45"/>
    </row>
    <row r="20" spans="2:12" ht="9" customHeight="1" x14ac:dyDescent="0.25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7"/>
    </row>
    <row r="21" spans="2:12" ht="9.75" customHeight="1" x14ac:dyDescent="0.25">
      <c r="B21" s="33"/>
      <c r="C21" s="33"/>
      <c r="D21" s="33"/>
      <c r="E21" s="33"/>
      <c r="F21" s="33"/>
      <c r="G21" s="33"/>
      <c r="H21" s="33"/>
      <c r="I21" s="33"/>
      <c r="J21" s="33"/>
      <c r="K21" s="33"/>
    </row>
    <row r="22" spans="2:12" x14ac:dyDescent="0.25">
      <c r="B22" s="36" t="s">
        <v>13</v>
      </c>
      <c r="C22" s="33"/>
      <c r="D22" s="33"/>
      <c r="E22" s="33"/>
      <c r="F22" s="34">
        <f t="shared" ref="F22:J22" si="0">SUM(F15:F21)</f>
        <v>0</v>
      </c>
      <c r="G22" s="33"/>
      <c r="H22" s="34">
        <f t="shared" si="0"/>
        <v>0</v>
      </c>
      <c r="I22" s="33"/>
      <c r="J22" s="34">
        <f t="shared" si="0"/>
        <v>0</v>
      </c>
      <c r="K22" s="34">
        <f>SUM(K15:K21)</f>
        <v>0</v>
      </c>
    </row>
    <row r="23" spans="2:12" ht="17.25" x14ac:dyDescent="0.25">
      <c r="B23" s="35" t="s">
        <v>94</v>
      </c>
      <c r="C23" s="33"/>
      <c r="D23" s="33"/>
      <c r="E23" s="33"/>
      <c r="F23" s="33"/>
      <c r="G23" s="33"/>
      <c r="H23" s="33"/>
      <c r="I23" s="33"/>
      <c r="J23" s="33"/>
      <c r="K23" s="73" t="str">
        <f>IFERROR(SUMIF($D$14:$D$20,"APRIL",$K$14:$K$20)/$K$22,"")</f>
        <v/>
      </c>
      <c r="L23" s="48" t="str">
        <f>IF(K23="","",IF(NOT(AND(K15&lt;=50000,(MAX(#REF!)-MIN(#REF!)&lt;=366))),IF(Budget!K23&gt;=0.25,2,IF(Budget!K23&gt;=0.2,1,0)),IF(Budget!K23&gt;=0.2,2,IF(Budget!K23&gt;=0.15,1,0))))</f>
        <v/>
      </c>
    </row>
    <row r="24" spans="2:12" ht="7.5" customHeight="1" x14ac:dyDescent="0.25"/>
    <row r="25" spans="2:12" ht="24" customHeight="1" x14ac:dyDescent="0.25">
      <c r="B25" s="95" t="s">
        <v>49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</row>
    <row r="26" spans="2:12" ht="20.25" customHeight="1" x14ac:dyDescent="0.25">
      <c r="B26" s="16"/>
      <c r="C26" s="16"/>
      <c r="D26" s="49"/>
      <c r="E26" s="92" t="s">
        <v>82</v>
      </c>
      <c r="F26" s="93"/>
      <c r="G26" s="92" t="s">
        <v>84</v>
      </c>
      <c r="H26" s="93"/>
      <c r="I26" s="92" t="s">
        <v>88</v>
      </c>
      <c r="J26" s="93"/>
      <c r="K26" s="7" t="s">
        <v>37</v>
      </c>
      <c r="L26" s="16" t="s">
        <v>11</v>
      </c>
    </row>
    <row r="27" spans="2:12" x14ac:dyDescent="0.25">
      <c r="B27" s="105" t="s">
        <v>41</v>
      </c>
      <c r="C27" s="106"/>
      <c r="D27" s="106"/>
      <c r="E27" s="106"/>
      <c r="F27" s="106"/>
      <c r="G27" s="106"/>
      <c r="H27" s="106"/>
      <c r="I27" s="106"/>
      <c r="J27" s="106"/>
      <c r="K27" s="107"/>
      <c r="L27" s="50"/>
    </row>
    <row r="28" spans="2:12" ht="47.25" x14ac:dyDescent="0.25">
      <c r="B28" s="7" t="s">
        <v>91</v>
      </c>
      <c r="C28" s="16" t="s">
        <v>36</v>
      </c>
      <c r="D28" s="16" t="s">
        <v>50</v>
      </c>
      <c r="E28" s="7" t="s">
        <v>51</v>
      </c>
      <c r="F28" s="7" t="s">
        <v>15</v>
      </c>
      <c r="G28" s="7" t="s">
        <v>51</v>
      </c>
      <c r="H28" s="7" t="s">
        <v>15</v>
      </c>
      <c r="I28" s="7" t="s">
        <v>51</v>
      </c>
      <c r="J28" s="7" t="s">
        <v>15</v>
      </c>
      <c r="K28" s="7" t="s">
        <v>15</v>
      </c>
      <c r="L28" s="51"/>
    </row>
    <row r="29" spans="2:12" ht="43.5" customHeight="1" x14ac:dyDescent="0.25">
      <c r="B29" s="26" t="s">
        <v>19</v>
      </c>
      <c r="C29" s="29" t="s">
        <v>35</v>
      </c>
      <c r="D29" s="30" t="s">
        <v>34</v>
      </c>
      <c r="E29" s="52"/>
      <c r="F29" s="31" t="str">
        <f t="shared" ref="F29:F38" si="1">+IFERROR(IF(E29&gt;0,ROUND(E29*$D29,0),""),"Enter Avg Annual cost in col D")</f>
        <v/>
      </c>
      <c r="G29" s="52"/>
      <c r="H29" s="31" t="str">
        <f t="shared" ref="H29:H38" si="2">+IFERROR(IF(G29&gt;0,ROUND(G29*$D29,0),""),"Enter Avg Annual cost in col D")</f>
        <v/>
      </c>
      <c r="I29" s="52"/>
      <c r="J29" s="31" t="str">
        <f t="shared" ref="J29:J38" si="3">+IFERROR(IF(I29&gt;0,ROUND(I29*$D29,0),""),"Enter Avg Annual cost in col D")</f>
        <v/>
      </c>
      <c r="K29" s="32">
        <f t="shared" ref="K29:K38" si="4">SUMIF($E$28:$J$28,$K$28,$E29:$J29)</f>
        <v>0</v>
      </c>
      <c r="L29" s="45"/>
    </row>
    <row r="30" spans="2:12" ht="30" x14ac:dyDescent="0.25">
      <c r="B30" s="26" t="s">
        <v>19</v>
      </c>
      <c r="C30" s="29" t="s">
        <v>35</v>
      </c>
      <c r="D30" s="30" t="s">
        <v>34</v>
      </c>
      <c r="E30" s="52"/>
      <c r="F30" s="31" t="str">
        <f t="shared" si="1"/>
        <v/>
      </c>
      <c r="G30" s="52"/>
      <c r="H30" s="31" t="str">
        <f t="shared" si="2"/>
        <v/>
      </c>
      <c r="I30" s="52"/>
      <c r="J30" s="31" t="str">
        <f t="shared" si="3"/>
        <v/>
      </c>
      <c r="K30" s="32">
        <f t="shared" si="4"/>
        <v>0</v>
      </c>
      <c r="L30" s="45"/>
    </row>
    <row r="31" spans="2:12" ht="30" x14ac:dyDescent="0.25">
      <c r="B31" s="26" t="s">
        <v>19</v>
      </c>
      <c r="C31" s="29" t="s">
        <v>35</v>
      </c>
      <c r="D31" s="30" t="s">
        <v>34</v>
      </c>
      <c r="E31" s="52"/>
      <c r="F31" s="31" t="str">
        <f t="shared" si="1"/>
        <v/>
      </c>
      <c r="G31" s="52"/>
      <c r="H31" s="31" t="str">
        <f t="shared" si="2"/>
        <v/>
      </c>
      <c r="I31" s="52"/>
      <c r="J31" s="31" t="str">
        <f t="shared" si="3"/>
        <v/>
      </c>
      <c r="K31" s="32">
        <f t="shared" si="4"/>
        <v>0</v>
      </c>
      <c r="L31" s="45"/>
    </row>
    <row r="32" spans="2:12" ht="30" x14ac:dyDescent="0.25">
      <c r="B32" s="26" t="s">
        <v>19</v>
      </c>
      <c r="C32" s="29" t="s">
        <v>35</v>
      </c>
      <c r="D32" s="30" t="s">
        <v>34</v>
      </c>
      <c r="E32" s="52"/>
      <c r="F32" s="31" t="str">
        <f t="shared" si="1"/>
        <v/>
      </c>
      <c r="G32" s="52"/>
      <c r="H32" s="31" t="str">
        <f t="shared" si="2"/>
        <v/>
      </c>
      <c r="I32" s="52"/>
      <c r="J32" s="31" t="str">
        <f t="shared" si="3"/>
        <v/>
      </c>
      <c r="K32" s="32">
        <f t="shared" si="4"/>
        <v>0</v>
      </c>
      <c r="L32" s="45"/>
    </row>
    <row r="33" spans="2:12" ht="30" x14ac:dyDescent="0.25">
      <c r="B33" s="26" t="s">
        <v>19</v>
      </c>
      <c r="C33" s="29" t="s">
        <v>35</v>
      </c>
      <c r="D33" s="30" t="s">
        <v>34</v>
      </c>
      <c r="E33" s="52"/>
      <c r="F33" s="31" t="str">
        <f t="shared" si="1"/>
        <v/>
      </c>
      <c r="G33" s="52"/>
      <c r="H33" s="31" t="str">
        <f t="shared" si="2"/>
        <v/>
      </c>
      <c r="I33" s="52"/>
      <c r="J33" s="31" t="str">
        <f t="shared" si="3"/>
        <v/>
      </c>
      <c r="K33" s="32">
        <f t="shared" si="4"/>
        <v>0</v>
      </c>
      <c r="L33" s="45"/>
    </row>
    <row r="34" spans="2:12" ht="30" x14ac:dyDescent="0.25">
      <c r="B34" s="26" t="s">
        <v>19</v>
      </c>
      <c r="C34" s="29" t="s">
        <v>35</v>
      </c>
      <c r="D34" s="30" t="s">
        <v>34</v>
      </c>
      <c r="E34" s="52"/>
      <c r="F34" s="31" t="str">
        <f t="shared" si="1"/>
        <v/>
      </c>
      <c r="G34" s="52"/>
      <c r="H34" s="31" t="str">
        <f t="shared" si="2"/>
        <v/>
      </c>
      <c r="I34" s="52"/>
      <c r="J34" s="31" t="str">
        <f t="shared" si="3"/>
        <v/>
      </c>
      <c r="K34" s="32">
        <f t="shared" si="4"/>
        <v>0</v>
      </c>
      <c r="L34" s="45"/>
    </row>
    <row r="35" spans="2:12" ht="30" x14ac:dyDescent="0.25">
      <c r="B35" s="26" t="s">
        <v>19</v>
      </c>
      <c r="C35" s="29" t="s">
        <v>35</v>
      </c>
      <c r="D35" s="30" t="s">
        <v>34</v>
      </c>
      <c r="E35" s="52"/>
      <c r="F35" s="31" t="str">
        <f t="shared" si="1"/>
        <v/>
      </c>
      <c r="G35" s="52"/>
      <c r="H35" s="31" t="str">
        <f t="shared" si="2"/>
        <v/>
      </c>
      <c r="I35" s="52"/>
      <c r="J35" s="31" t="str">
        <f t="shared" si="3"/>
        <v/>
      </c>
      <c r="K35" s="32">
        <f t="shared" si="4"/>
        <v>0</v>
      </c>
      <c r="L35" s="45"/>
    </row>
    <row r="36" spans="2:12" ht="30" x14ac:dyDescent="0.25">
      <c r="B36" s="26" t="s">
        <v>19</v>
      </c>
      <c r="C36" s="29" t="s">
        <v>35</v>
      </c>
      <c r="D36" s="30" t="s">
        <v>34</v>
      </c>
      <c r="E36" s="52"/>
      <c r="F36" s="31" t="str">
        <f t="shared" si="1"/>
        <v/>
      </c>
      <c r="G36" s="52"/>
      <c r="H36" s="31" t="str">
        <f t="shared" si="2"/>
        <v/>
      </c>
      <c r="I36" s="52"/>
      <c r="J36" s="31" t="str">
        <f t="shared" si="3"/>
        <v/>
      </c>
      <c r="K36" s="32">
        <f t="shared" si="4"/>
        <v>0</v>
      </c>
      <c r="L36" s="45"/>
    </row>
    <row r="37" spans="2:12" ht="30" x14ac:dyDescent="0.25">
      <c r="B37" s="26" t="s">
        <v>19</v>
      </c>
      <c r="C37" s="29" t="s">
        <v>35</v>
      </c>
      <c r="D37" s="30" t="s">
        <v>34</v>
      </c>
      <c r="E37" s="52"/>
      <c r="F37" s="31" t="str">
        <f t="shared" si="1"/>
        <v/>
      </c>
      <c r="G37" s="52"/>
      <c r="H37" s="31" t="str">
        <f t="shared" si="2"/>
        <v/>
      </c>
      <c r="I37" s="52"/>
      <c r="J37" s="31" t="str">
        <f t="shared" si="3"/>
        <v/>
      </c>
      <c r="K37" s="32">
        <f t="shared" si="4"/>
        <v>0</v>
      </c>
      <c r="L37" s="45"/>
    </row>
    <row r="38" spans="2:12" ht="39" customHeight="1" x14ac:dyDescent="0.25">
      <c r="B38" s="26" t="s">
        <v>19</v>
      </c>
      <c r="C38" s="29" t="s">
        <v>35</v>
      </c>
      <c r="D38" s="30" t="s">
        <v>34</v>
      </c>
      <c r="E38" s="52"/>
      <c r="F38" s="31" t="str">
        <f t="shared" si="1"/>
        <v/>
      </c>
      <c r="G38" s="52"/>
      <c r="H38" s="31" t="str">
        <f t="shared" si="2"/>
        <v/>
      </c>
      <c r="I38" s="52"/>
      <c r="J38" s="31" t="str">
        <f t="shared" si="3"/>
        <v/>
      </c>
      <c r="K38" s="32">
        <f t="shared" si="4"/>
        <v>0</v>
      </c>
      <c r="L38" s="45"/>
    </row>
    <row r="39" spans="2:12" ht="9.75" customHeight="1" x14ac:dyDescent="0.25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51"/>
    </row>
    <row r="40" spans="2:12" ht="9.75" customHeight="1" x14ac:dyDescent="0.25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51"/>
    </row>
    <row r="41" spans="2:12" x14ac:dyDescent="0.25">
      <c r="B41" s="35" t="s">
        <v>21</v>
      </c>
      <c r="C41" s="53"/>
      <c r="D41" s="53"/>
      <c r="E41" s="33"/>
      <c r="F41" s="34">
        <f>SUM(F28:F40)</f>
        <v>0</v>
      </c>
      <c r="G41" s="33"/>
      <c r="H41" s="34">
        <f>SUM(H28:H40)</f>
        <v>0</v>
      </c>
      <c r="I41" s="53"/>
      <c r="J41" s="34">
        <f>SUM(J28:J40)</f>
        <v>0</v>
      </c>
      <c r="K41" s="34">
        <f>SUM(K28:K40)</f>
        <v>0</v>
      </c>
      <c r="L41" s="8"/>
    </row>
    <row r="42" spans="2:12" x14ac:dyDescent="0.25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8"/>
    </row>
    <row r="43" spans="2:12" x14ac:dyDescent="0.25">
      <c r="B43" s="108" t="s">
        <v>3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10"/>
    </row>
    <row r="44" spans="2:12" x14ac:dyDescent="0.25">
      <c r="B44" s="99" t="s">
        <v>19</v>
      </c>
      <c r="C44" s="101" t="s">
        <v>6</v>
      </c>
      <c r="D44" s="102"/>
      <c r="E44" s="37"/>
      <c r="F44" s="37" t="s">
        <v>82</v>
      </c>
      <c r="G44" s="37"/>
      <c r="H44" s="37" t="s">
        <v>84</v>
      </c>
      <c r="I44" s="37"/>
      <c r="J44" s="37" t="s">
        <v>88</v>
      </c>
      <c r="K44" s="37" t="s">
        <v>37</v>
      </c>
      <c r="L44" s="16" t="s">
        <v>11</v>
      </c>
    </row>
    <row r="45" spans="2:12" x14ac:dyDescent="0.25">
      <c r="B45" s="100"/>
      <c r="C45" s="95"/>
      <c r="D45" s="103"/>
      <c r="E45" s="7"/>
      <c r="F45" s="7" t="s">
        <v>15</v>
      </c>
      <c r="G45" s="7"/>
      <c r="H45" s="7" t="s">
        <v>15</v>
      </c>
      <c r="I45" s="7"/>
      <c r="J45" s="7" t="s">
        <v>15</v>
      </c>
      <c r="K45" s="7" t="s">
        <v>15</v>
      </c>
      <c r="L45" s="8"/>
    </row>
    <row r="46" spans="2:12" x14ac:dyDescent="0.25">
      <c r="B46" s="26" t="s">
        <v>19</v>
      </c>
      <c r="C46" s="89" t="s">
        <v>6</v>
      </c>
      <c r="D46" s="91"/>
      <c r="E46" s="28"/>
      <c r="F46" s="44"/>
      <c r="G46" s="28"/>
      <c r="H46" s="44"/>
      <c r="I46" s="28"/>
      <c r="J46" s="44"/>
      <c r="K46" s="32">
        <f t="shared" ref="K46:K55" si="5">SUMIF($E$28:$J$28,$K$28,$E46:$J46)</f>
        <v>0</v>
      </c>
      <c r="L46" s="45"/>
    </row>
    <row r="47" spans="2:12" x14ac:dyDescent="0.25">
      <c r="B47" s="26" t="s">
        <v>19</v>
      </c>
      <c r="C47" s="89" t="s">
        <v>6</v>
      </c>
      <c r="D47" s="91"/>
      <c r="E47" s="28"/>
      <c r="F47" s="44"/>
      <c r="G47" s="28"/>
      <c r="H47" s="44"/>
      <c r="I47" s="28"/>
      <c r="J47" s="44"/>
      <c r="K47" s="32">
        <f t="shared" si="5"/>
        <v>0</v>
      </c>
      <c r="L47" s="45"/>
    </row>
    <row r="48" spans="2:12" x14ac:dyDescent="0.25">
      <c r="B48" s="26" t="s">
        <v>19</v>
      </c>
      <c r="C48" s="89" t="s">
        <v>6</v>
      </c>
      <c r="D48" s="91"/>
      <c r="E48" s="28"/>
      <c r="F48" s="44"/>
      <c r="G48" s="28"/>
      <c r="H48" s="44"/>
      <c r="I48" s="28"/>
      <c r="J48" s="44"/>
      <c r="K48" s="32">
        <f t="shared" si="5"/>
        <v>0</v>
      </c>
      <c r="L48" s="45"/>
    </row>
    <row r="49" spans="2:12" x14ac:dyDescent="0.25">
      <c r="B49" s="26" t="s">
        <v>19</v>
      </c>
      <c r="C49" s="89" t="s">
        <v>6</v>
      </c>
      <c r="D49" s="91"/>
      <c r="E49" s="28"/>
      <c r="F49" s="44"/>
      <c r="G49" s="28"/>
      <c r="H49" s="44"/>
      <c r="I49" s="28"/>
      <c r="J49" s="44"/>
      <c r="K49" s="32">
        <f t="shared" si="5"/>
        <v>0</v>
      </c>
      <c r="L49" s="45"/>
    </row>
    <row r="50" spans="2:12" x14ac:dyDescent="0.25">
      <c r="B50" s="26" t="s">
        <v>19</v>
      </c>
      <c r="C50" s="89" t="s">
        <v>6</v>
      </c>
      <c r="D50" s="91"/>
      <c r="E50" s="28"/>
      <c r="F50" s="44"/>
      <c r="G50" s="28"/>
      <c r="H50" s="44"/>
      <c r="I50" s="28"/>
      <c r="J50" s="44"/>
      <c r="K50" s="32">
        <f t="shared" si="5"/>
        <v>0</v>
      </c>
      <c r="L50" s="45"/>
    </row>
    <row r="51" spans="2:12" x14ac:dyDescent="0.25">
      <c r="B51" s="26" t="s">
        <v>19</v>
      </c>
      <c r="C51" s="89" t="s">
        <v>6</v>
      </c>
      <c r="D51" s="91"/>
      <c r="E51" s="28"/>
      <c r="F51" s="44"/>
      <c r="G51" s="28"/>
      <c r="H51" s="44"/>
      <c r="I51" s="28"/>
      <c r="J51" s="44"/>
      <c r="K51" s="32">
        <f t="shared" si="5"/>
        <v>0</v>
      </c>
      <c r="L51" s="45"/>
    </row>
    <row r="52" spans="2:12" x14ac:dyDescent="0.25">
      <c r="B52" s="26" t="s">
        <v>19</v>
      </c>
      <c r="C52" s="89" t="s">
        <v>6</v>
      </c>
      <c r="D52" s="91"/>
      <c r="E52" s="28"/>
      <c r="F52" s="44"/>
      <c r="G52" s="28"/>
      <c r="H52" s="44"/>
      <c r="I52" s="28"/>
      <c r="J52" s="44"/>
      <c r="K52" s="32">
        <f t="shared" si="5"/>
        <v>0</v>
      </c>
      <c r="L52" s="45"/>
    </row>
    <row r="53" spans="2:12" x14ac:dyDescent="0.25">
      <c r="B53" s="26" t="s">
        <v>19</v>
      </c>
      <c r="C53" s="89" t="s">
        <v>6</v>
      </c>
      <c r="D53" s="91"/>
      <c r="E53" s="28"/>
      <c r="F53" s="44"/>
      <c r="G53" s="28"/>
      <c r="H53" s="44"/>
      <c r="I53" s="28"/>
      <c r="J53" s="44"/>
      <c r="K53" s="32">
        <f t="shared" si="5"/>
        <v>0</v>
      </c>
      <c r="L53" s="45"/>
    </row>
    <row r="54" spans="2:12" x14ac:dyDescent="0.25">
      <c r="B54" s="26" t="s">
        <v>19</v>
      </c>
      <c r="C54" s="89" t="s">
        <v>6</v>
      </c>
      <c r="D54" s="91"/>
      <c r="E54" s="28"/>
      <c r="F54" s="44"/>
      <c r="G54" s="28"/>
      <c r="H54" s="44"/>
      <c r="I54" s="28"/>
      <c r="J54" s="44"/>
      <c r="K54" s="32">
        <f t="shared" si="5"/>
        <v>0</v>
      </c>
      <c r="L54" s="45"/>
    </row>
    <row r="55" spans="2:12" x14ac:dyDescent="0.25">
      <c r="B55" s="26" t="s">
        <v>19</v>
      </c>
      <c r="C55" s="89" t="s">
        <v>6</v>
      </c>
      <c r="D55" s="91"/>
      <c r="E55" s="28"/>
      <c r="F55" s="44"/>
      <c r="G55" s="28"/>
      <c r="H55" s="44"/>
      <c r="I55" s="28"/>
      <c r="J55" s="44"/>
      <c r="K55" s="32">
        <f t="shared" si="5"/>
        <v>0</v>
      </c>
      <c r="L55" s="45"/>
    </row>
    <row r="56" spans="2:12" ht="9.75" customHeight="1" x14ac:dyDescent="0.25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51"/>
    </row>
    <row r="57" spans="2:12" x14ac:dyDescent="0.25">
      <c r="B57" s="35" t="s">
        <v>20</v>
      </c>
      <c r="C57" s="53"/>
      <c r="D57" s="53"/>
      <c r="E57" s="33"/>
      <c r="F57" s="34">
        <f>SUM(F45:F56)</f>
        <v>0</v>
      </c>
      <c r="G57" s="33"/>
      <c r="H57" s="34">
        <f>SUM(H45:H56)</f>
        <v>0</v>
      </c>
      <c r="I57" s="53"/>
      <c r="J57" s="34">
        <f>SUM(J45:J56)</f>
        <v>0</v>
      </c>
      <c r="K57" s="34">
        <f>SUM(K45:K56)</f>
        <v>0</v>
      </c>
      <c r="L57" s="51"/>
    </row>
    <row r="58" spans="2:12" x14ac:dyDescent="0.25">
      <c r="B58" s="35" t="s">
        <v>14</v>
      </c>
      <c r="C58" s="36"/>
      <c r="D58" s="53"/>
      <c r="E58" s="33"/>
      <c r="F58" s="34">
        <f>+F57+F41</f>
        <v>0</v>
      </c>
      <c r="G58" s="33"/>
      <c r="H58" s="34">
        <f>+H57+H41</f>
        <v>0</v>
      </c>
      <c r="I58" s="53"/>
      <c r="J58" s="34">
        <f>+J57+J41</f>
        <v>0</v>
      </c>
      <c r="K58" s="34">
        <f>+K57+K41</f>
        <v>0</v>
      </c>
      <c r="L58" s="55"/>
    </row>
    <row r="60" spans="2:12" ht="17.25" x14ac:dyDescent="0.25">
      <c r="B60" s="92" t="s">
        <v>52</v>
      </c>
      <c r="C60" s="114"/>
      <c r="D60" s="114"/>
      <c r="E60" s="114"/>
      <c r="F60" s="114"/>
      <c r="G60" s="114"/>
      <c r="H60" s="114"/>
      <c r="I60" s="114"/>
      <c r="J60" s="114"/>
      <c r="K60" s="114"/>
      <c r="L60" s="93"/>
    </row>
    <row r="61" spans="2:12" ht="15" customHeight="1" x14ac:dyDescent="0.25">
      <c r="B61" s="112" t="s">
        <v>47</v>
      </c>
      <c r="C61" s="113" t="s">
        <v>46</v>
      </c>
      <c r="D61" s="98"/>
      <c r="E61" s="98"/>
      <c r="F61" s="98"/>
      <c r="G61" s="98"/>
      <c r="H61" s="98"/>
      <c r="I61" s="98"/>
      <c r="J61" s="111"/>
      <c r="K61" s="111"/>
      <c r="L61" s="104" t="s">
        <v>11</v>
      </c>
    </row>
    <row r="62" spans="2:12" x14ac:dyDescent="0.25">
      <c r="B62" s="100"/>
      <c r="C62" s="113"/>
      <c r="D62" s="98"/>
      <c r="E62" s="98"/>
      <c r="F62" s="98"/>
      <c r="G62" s="98"/>
      <c r="H62" s="98"/>
      <c r="I62" s="98"/>
      <c r="J62" s="111"/>
      <c r="K62" s="111"/>
      <c r="L62" s="104"/>
    </row>
    <row r="63" spans="2:12" x14ac:dyDescent="0.25">
      <c r="B63" s="28" t="s">
        <v>32</v>
      </c>
      <c r="C63" s="56">
        <f>1-SUM(C64:C73)</f>
        <v>1</v>
      </c>
      <c r="D63" s="57"/>
      <c r="E63" s="57"/>
      <c r="F63" s="57"/>
      <c r="G63" s="57"/>
      <c r="H63" s="57"/>
      <c r="I63" s="57"/>
      <c r="J63" s="58"/>
      <c r="K63" s="58"/>
      <c r="L63" s="59"/>
    </row>
    <row r="64" spans="2:12" x14ac:dyDescent="0.25">
      <c r="B64" s="60" t="s">
        <v>47</v>
      </c>
      <c r="C64" s="61"/>
      <c r="D64" s="57"/>
      <c r="E64" s="57"/>
      <c r="F64" s="57"/>
      <c r="G64" s="57"/>
      <c r="H64" s="57"/>
      <c r="I64" s="57"/>
      <c r="J64" s="58"/>
      <c r="K64" s="58"/>
      <c r="L64" s="45"/>
    </row>
    <row r="65" spans="2:12" x14ac:dyDescent="0.25">
      <c r="B65" s="60" t="s">
        <v>47</v>
      </c>
      <c r="C65" s="61"/>
      <c r="D65" s="57"/>
      <c r="E65" s="57"/>
      <c r="F65" s="57"/>
      <c r="G65" s="57"/>
      <c r="H65" s="57"/>
      <c r="I65" s="57"/>
      <c r="J65" s="58"/>
      <c r="K65" s="58"/>
      <c r="L65" s="45"/>
    </row>
    <row r="66" spans="2:12" x14ac:dyDescent="0.25">
      <c r="B66" s="60" t="s">
        <v>47</v>
      </c>
      <c r="C66" s="61"/>
      <c r="D66" s="57"/>
      <c r="E66" s="57"/>
      <c r="F66" s="57"/>
      <c r="G66" s="57"/>
      <c r="H66" s="57"/>
      <c r="I66" s="57"/>
      <c r="J66" s="58"/>
      <c r="K66" s="58"/>
      <c r="L66" s="45"/>
    </row>
    <row r="67" spans="2:12" x14ac:dyDescent="0.25">
      <c r="B67" s="60" t="s">
        <v>47</v>
      </c>
      <c r="C67" s="61"/>
      <c r="D67" s="57"/>
      <c r="E67" s="57"/>
      <c r="F67" s="57"/>
      <c r="G67" s="57"/>
      <c r="H67" s="57"/>
      <c r="I67" s="57"/>
      <c r="J67" s="58"/>
      <c r="K67" s="58"/>
      <c r="L67" s="45"/>
    </row>
    <row r="68" spans="2:12" x14ac:dyDescent="0.25">
      <c r="B68" s="60" t="s">
        <v>47</v>
      </c>
      <c r="C68" s="61"/>
      <c r="D68" s="57"/>
      <c r="E68" s="57"/>
      <c r="F68" s="57"/>
      <c r="G68" s="57"/>
      <c r="H68" s="57"/>
      <c r="I68" s="57"/>
      <c r="J68" s="58"/>
      <c r="K68" s="58"/>
      <c r="L68" s="45"/>
    </row>
    <row r="69" spans="2:12" x14ac:dyDescent="0.25">
      <c r="B69" s="60" t="s">
        <v>47</v>
      </c>
      <c r="C69" s="61"/>
      <c r="D69" s="57"/>
      <c r="E69" s="57"/>
      <c r="F69" s="57"/>
      <c r="G69" s="57"/>
      <c r="H69" s="57"/>
      <c r="I69" s="57"/>
      <c r="J69" s="58"/>
      <c r="K69" s="58"/>
      <c r="L69" s="45"/>
    </row>
    <row r="70" spans="2:12" x14ac:dyDescent="0.25">
      <c r="B70" s="60" t="s">
        <v>47</v>
      </c>
      <c r="C70" s="61"/>
      <c r="D70" s="57"/>
      <c r="E70" s="57"/>
      <c r="F70" s="57"/>
      <c r="G70" s="57"/>
      <c r="H70" s="57"/>
      <c r="I70" s="57"/>
      <c r="J70" s="58"/>
      <c r="K70" s="58"/>
      <c r="L70" s="45"/>
    </row>
    <row r="71" spans="2:12" x14ac:dyDescent="0.25">
      <c r="B71" s="60" t="s">
        <v>47</v>
      </c>
      <c r="C71" s="61"/>
      <c r="D71" s="57"/>
      <c r="E71" s="57"/>
      <c r="F71" s="57"/>
      <c r="G71" s="57"/>
      <c r="H71" s="57"/>
      <c r="I71" s="57"/>
      <c r="J71" s="58"/>
      <c r="K71" s="58"/>
      <c r="L71" s="45"/>
    </row>
    <row r="72" spans="2:12" x14ac:dyDescent="0.25">
      <c r="B72" s="60" t="s">
        <v>47</v>
      </c>
      <c r="C72" s="61"/>
      <c r="D72" s="57"/>
      <c r="E72" s="57"/>
      <c r="F72" s="57"/>
      <c r="G72" s="57"/>
      <c r="H72" s="57"/>
      <c r="I72" s="57"/>
      <c r="J72" s="58"/>
      <c r="K72" s="58"/>
      <c r="L72" s="45"/>
    </row>
    <row r="73" spans="2:12" x14ac:dyDescent="0.25">
      <c r="B73" s="60" t="s">
        <v>47</v>
      </c>
      <c r="C73" s="61"/>
      <c r="D73" s="57"/>
      <c r="E73" s="57"/>
      <c r="F73" s="57"/>
      <c r="G73" s="57"/>
      <c r="H73" s="57"/>
      <c r="I73" s="57"/>
      <c r="J73" s="58"/>
      <c r="K73" s="58"/>
      <c r="L73" s="45"/>
    </row>
    <row r="74" spans="2:12" ht="7.5" customHeight="1" x14ac:dyDescent="0.25">
      <c r="B74" s="62"/>
      <c r="C74" s="63"/>
      <c r="D74" s="57"/>
      <c r="E74" s="57"/>
      <c r="F74" s="57"/>
      <c r="G74" s="57"/>
      <c r="H74" s="57"/>
      <c r="I74" s="57"/>
      <c r="J74" s="58"/>
      <c r="K74" s="58"/>
      <c r="L74" s="64"/>
    </row>
    <row r="75" spans="2:12" x14ac:dyDescent="0.25">
      <c r="B75" s="65" t="s">
        <v>37</v>
      </c>
      <c r="C75" s="66">
        <f>SUM(C63:C74)</f>
        <v>1</v>
      </c>
      <c r="D75" s="57"/>
      <c r="E75" s="57"/>
      <c r="F75" s="57"/>
      <c r="G75" s="57"/>
      <c r="H75" s="57"/>
      <c r="I75" s="57"/>
      <c r="J75" s="58"/>
      <c r="K75" s="58"/>
      <c r="L75" s="67"/>
    </row>
    <row r="78" spans="2:12" x14ac:dyDescent="0.25">
      <c r="B78" s="68" t="s">
        <v>17</v>
      </c>
      <c r="E78" s="69"/>
      <c r="F78" s="69"/>
      <c r="G78" s="69"/>
      <c r="H78" s="69"/>
      <c r="J78" s="69"/>
      <c r="K78" s="69"/>
    </row>
    <row r="79" spans="2:12" x14ac:dyDescent="0.25">
      <c r="B79" s="68" t="s">
        <v>92</v>
      </c>
    </row>
    <row r="80" spans="2:12" x14ac:dyDescent="0.25">
      <c r="B80" s="68" t="s">
        <v>93</v>
      </c>
    </row>
    <row r="81" spans="2:12" x14ac:dyDescent="0.25">
      <c r="B81" s="68" t="s">
        <v>53</v>
      </c>
    </row>
    <row r="82" spans="2:12" x14ac:dyDescent="0.25">
      <c r="B82" s="68" t="s">
        <v>38</v>
      </c>
    </row>
    <row r="83" spans="2:12" ht="16.5" customHeight="1" x14ac:dyDescent="0.25">
      <c r="B83" s="94" t="s">
        <v>18</v>
      </c>
      <c r="C83" s="94"/>
      <c r="D83" s="94"/>
      <c r="E83" s="94"/>
      <c r="F83" s="94"/>
      <c r="G83" s="94"/>
      <c r="H83" s="94"/>
      <c r="I83" s="94"/>
      <c r="J83" s="94"/>
      <c r="K83" s="94"/>
      <c r="L83" s="70"/>
    </row>
    <row r="84" spans="2:12" x14ac:dyDescent="0.25">
      <c r="B84" s="68" t="s">
        <v>39</v>
      </c>
    </row>
    <row r="85" spans="2:12" x14ac:dyDescent="0.25">
      <c r="B85" s="68" t="s">
        <v>40</v>
      </c>
    </row>
  </sheetData>
  <sheetProtection formatRows="0"/>
  <mergeCells count="31">
    <mergeCell ref="C49:D49"/>
    <mergeCell ref="C48:D48"/>
    <mergeCell ref="L61:L62"/>
    <mergeCell ref="B27:K27"/>
    <mergeCell ref="B43:L43"/>
    <mergeCell ref="J61:K62"/>
    <mergeCell ref="B61:B62"/>
    <mergeCell ref="D61:E62"/>
    <mergeCell ref="F61:G62"/>
    <mergeCell ref="H61:I62"/>
    <mergeCell ref="C61:C62"/>
    <mergeCell ref="B60:L60"/>
    <mergeCell ref="C55:D55"/>
    <mergeCell ref="C54:D54"/>
    <mergeCell ref="C53:D53"/>
    <mergeCell ref="C6:L6"/>
    <mergeCell ref="C7:L7"/>
    <mergeCell ref="C8:L8"/>
    <mergeCell ref="I26:J26"/>
    <mergeCell ref="B83:K83"/>
    <mergeCell ref="B25:L25"/>
    <mergeCell ref="B12:L12"/>
    <mergeCell ref="G26:H26"/>
    <mergeCell ref="E26:F26"/>
    <mergeCell ref="B44:B45"/>
    <mergeCell ref="C44:D45"/>
    <mergeCell ref="C52:D52"/>
    <mergeCell ref="C47:D47"/>
    <mergeCell ref="C46:D46"/>
    <mergeCell ref="C51:D51"/>
    <mergeCell ref="C50:D50"/>
  </mergeCells>
  <conditionalFormatting sqref="B75:C75">
    <cfRule type="expression" dxfId="6" priority="1">
      <formula>$C$75&lt;&gt;1</formula>
    </cfRule>
  </conditionalFormatting>
  <conditionalFormatting sqref="C63">
    <cfRule type="expression" dxfId="5" priority="2">
      <formula>$C$63&lt;0</formula>
    </cfRule>
  </conditionalFormatting>
  <conditionalFormatting sqref="E78:H78">
    <cfRule type="expression" dxfId="4" priority="12">
      <formula>E78&lt;&gt;0</formula>
    </cfRule>
  </conditionalFormatting>
  <conditionalFormatting sqref="J78:K78">
    <cfRule type="expression" dxfId="3" priority="7">
      <formula>J78&lt;&gt;0</formula>
    </cfRule>
    <cfRule type="expression" dxfId="2" priority="11">
      <formula>$E$78&lt;&gt;0</formula>
    </cfRule>
  </conditionalFormatting>
  <conditionalFormatting sqref="L23">
    <cfRule type="iconSet" priority="5">
      <iconSet iconSet="3Symbols">
        <cfvo type="percent" val="0"/>
        <cfvo type="num" val="1"/>
        <cfvo type="num" val="2"/>
      </iconSet>
    </cfRule>
  </conditionalFormatting>
  <dataValidations count="5">
    <dataValidation type="whole" allowBlank="1" showInputMessage="1" showErrorMessage="1" errorTitle="Invalid Entry" error="Please enter a whole number between $0 and $400,000" sqref="D29:D38" xr:uid="{00000000-0002-0000-0000-000000000000}">
      <formula1>0</formula1>
      <formula2>400000</formula2>
    </dataValidation>
    <dataValidation type="decimal" allowBlank="1" showInputMessage="1" showErrorMessage="1" sqref="C64:C73" xr:uid="{00000000-0002-0000-0000-000001000000}">
      <formula1>0</formula1>
      <formula2>1</formula2>
    </dataValidation>
    <dataValidation type="whole" allowBlank="1" showInputMessage="1" showErrorMessage="1" errorTitle="Invalid entry" error="Please enter a whole number between $0 and $1,000,000" sqref="J15:J19 F15:F19 H15:H19" xr:uid="{00000000-0002-0000-0000-000002000000}">
      <formula1>0</formula1>
      <formula2>1000000</formula2>
    </dataValidation>
    <dataValidation type="decimal" allowBlank="1" showInputMessage="1" showErrorMessage="1" errorTitle="Invalid entry" error="Please enter a value between 0% and 100%" sqref="E29:E38 G29:G38 I29:I38" xr:uid="{00000000-0002-0000-0000-000003000000}">
      <formula1>0</formula1>
      <formula2>1</formula2>
    </dataValidation>
    <dataValidation type="whole" allowBlank="1" showInputMessage="1" showErrorMessage="1" errorTitle="Invalid entry" error="Please enter a whole number greater between 0 and $10,000,000" sqref="F46:F55 H46:H55 J46:J55" xr:uid="{00000000-0002-0000-0000-000004000000}">
      <formula1>0</formula1>
      <formula2>10000000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rowBreaks count="3" manualBreakCount="3">
    <brk id="24" max="11" man="1"/>
    <brk id="41" max="11" man="1"/>
    <brk id="59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EAD44-533F-4C63-9ED5-1388AAB31945}">
  <sheetPr codeName="Sheet5"/>
  <dimension ref="A1:C18"/>
  <sheetViews>
    <sheetView workbookViewId="0">
      <selection activeCell="C3" sqref="C3"/>
    </sheetView>
  </sheetViews>
  <sheetFormatPr defaultColWidth="8.7109375" defaultRowHeight="15" x14ac:dyDescent="0.25"/>
  <cols>
    <col min="1" max="1" width="52.42578125" customWidth="1"/>
    <col min="2" max="2" width="43.42578125" customWidth="1"/>
    <col min="3" max="3" width="19.140625" customWidth="1"/>
  </cols>
  <sheetData>
    <row r="1" spans="1:3" ht="26.25" x14ac:dyDescent="0.4">
      <c r="A1" s="115" t="s">
        <v>4</v>
      </c>
      <c r="B1" s="116"/>
      <c r="C1" s="117"/>
    </row>
    <row r="2" spans="1:3" x14ac:dyDescent="0.25">
      <c r="A2" s="7" t="s">
        <v>5</v>
      </c>
      <c r="B2" s="15" t="s">
        <v>6</v>
      </c>
      <c r="C2" s="7" t="s">
        <v>7</v>
      </c>
    </row>
    <row r="3" spans="1:3" x14ac:dyDescent="0.25">
      <c r="A3" s="11"/>
      <c r="B3" s="12"/>
      <c r="C3" s="9"/>
    </row>
    <row r="4" spans="1:3" x14ac:dyDescent="0.25">
      <c r="A4" s="11"/>
      <c r="B4" s="13"/>
      <c r="C4" s="9"/>
    </row>
    <row r="5" spans="1:3" x14ac:dyDescent="0.25">
      <c r="A5" s="11"/>
      <c r="B5" s="13"/>
      <c r="C5" s="9"/>
    </row>
    <row r="6" spans="1:3" x14ac:dyDescent="0.25">
      <c r="A6" s="11"/>
      <c r="B6" s="13"/>
      <c r="C6" s="9"/>
    </row>
    <row r="7" spans="1:3" x14ac:dyDescent="0.25">
      <c r="A7" s="11"/>
      <c r="B7" s="13"/>
      <c r="C7" s="9"/>
    </row>
    <row r="8" spans="1:3" x14ac:dyDescent="0.25">
      <c r="A8" s="11"/>
      <c r="B8" s="14"/>
      <c r="C8" s="9"/>
    </row>
    <row r="9" spans="1:3" x14ac:dyDescent="0.25">
      <c r="A9" s="11"/>
      <c r="B9" s="14"/>
      <c r="C9" s="9"/>
    </row>
    <row r="10" spans="1:3" x14ac:dyDescent="0.25">
      <c r="A10" s="11"/>
      <c r="B10" s="14"/>
      <c r="C10" s="9"/>
    </row>
    <row r="11" spans="1:3" x14ac:dyDescent="0.25">
      <c r="A11" s="11"/>
      <c r="B11" s="14"/>
      <c r="C11" s="9"/>
    </row>
    <row r="12" spans="1:3" x14ac:dyDescent="0.25">
      <c r="A12" s="11"/>
      <c r="B12" s="14"/>
      <c r="C12" s="9"/>
    </row>
    <row r="13" spans="1:3" x14ac:dyDescent="0.25">
      <c r="A13" s="11"/>
      <c r="B13" s="14"/>
      <c r="C13" s="9"/>
    </row>
    <row r="14" spans="1:3" x14ac:dyDescent="0.25">
      <c r="A14" s="11"/>
      <c r="B14" s="14"/>
      <c r="C14" s="9"/>
    </row>
    <row r="15" spans="1:3" x14ac:dyDescent="0.25">
      <c r="A15" s="11"/>
      <c r="B15" s="14"/>
      <c r="C15" s="9"/>
    </row>
    <row r="16" spans="1:3" x14ac:dyDescent="0.25">
      <c r="A16" s="11"/>
      <c r="B16" s="14"/>
      <c r="C16" s="9"/>
    </row>
    <row r="17" spans="1:3" x14ac:dyDescent="0.25">
      <c r="A17" s="11"/>
      <c r="B17" s="14"/>
      <c r="C17" s="9"/>
    </row>
    <row r="18" spans="1:3" x14ac:dyDescent="0.25">
      <c r="A18" s="11"/>
      <c r="B18" s="14"/>
      <c r="C18" s="9"/>
    </row>
  </sheetData>
  <mergeCells count="1">
    <mergeCell ref="A1:C1"/>
  </mergeCells>
  <dataValidations count="1">
    <dataValidation type="date" allowBlank="1" showInputMessage="1" showErrorMessage="1" errorTitle="Milestone Date" error="Please enter a date after 30 June 2023 and before 1 July 2032" promptTitle="Milestone Date" prompt="Please enter a date after 30 June 2023 and before 1 July 2032" sqref="C3:C18" xr:uid="{5BEF9A0D-4B50-4A22-8D2D-6B64E6DC4336}">
      <formula1>45108</formula1>
      <formula2>48396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78435-3E01-41F3-BB5E-A746A0FD37F8}">
  <sheetPr codeName="Sheet2"/>
  <dimension ref="A1:I22"/>
  <sheetViews>
    <sheetView workbookViewId="0">
      <selection activeCell="C4" sqref="C4"/>
    </sheetView>
  </sheetViews>
  <sheetFormatPr defaultColWidth="8.7109375" defaultRowHeight="15" x14ac:dyDescent="0.25"/>
  <cols>
    <col min="2" max="2" width="72" customWidth="1"/>
    <col min="4" max="4" width="12.28515625" customWidth="1"/>
    <col min="8" max="8" width="11.42578125" customWidth="1"/>
    <col min="9" max="9" width="13.42578125" bestFit="1" customWidth="1"/>
  </cols>
  <sheetData>
    <row r="1" spans="1:9" ht="26.25" x14ac:dyDescent="0.4">
      <c r="A1" s="120" t="s">
        <v>54</v>
      </c>
      <c r="B1" s="121"/>
      <c r="C1" s="121"/>
      <c r="D1" s="121"/>
      <c r="E1" s="121"/>
      <c r="F1" s="121"/>
      <c r="G1" s="121"/>
      <c r="H1" s="121"/>
      <c r="I1" s="121"/>
    </row>
    <row r="2" spans="1:9" x14ac:dyDescent="0.25">
      <c r="B2" s="74"/>
    </row>
    <row r="3" spans="1:9" ht="45" x14ac:dyDescent="0.25">
      <c r="A3" s="92" t="s">
        <v>29</v>
      </c>
      <c r="B3" s="93"/>
      <c r="C3" s="16" t="s">
        <v>22</v>
      </c>
      <c r="D3" s="16" t="s">
        <v>23</v>
      </c>
      <c r="F3" s="17" t="s">
        <v>85</v>
      </c>
      <c r="G3" s="17" t="s">
        <v>86</v>
      </c>
      <c r="H3" s="17" t="s">
        <v>30</v>
      </c>
      <c r="I3" s="17" t="s">
        <v>42</v>
      </c>
    </row>
    <row r="4" spans="1:9" x14ac:dyDescent="0.25">
      <c r="A4" s="118"/>
      <c r="B4" s="119"/>
      <c r="C4" s="18"/>
      <c r="D4" s="19"/>
      <c r="F4" s="84" t="str">
        <f>IFERROR(SUMIFS(INDEX(data!$B$1:$T$46,1,MATCH($C4,data!$B$2:$T$2,0)):INDEX(data!$B$1:$T$46,46,MATCH($C4,data!$B$2:$T$2,0)),
data!$B$1:$B$46,RIGHT($A4,LEN($A4)-SEARCH(":",$A4)-1),
data!$D$1:$D$46,"BF Cash",data!$C$1:$C$46,LEFT($A4,SEARCH(":",$A4)-2)),"")</f>
        <v/>
      </c>
      <c r="G4" s="84" t="str">
        <f>IFERROR(D4*F4,"")</f>
        <v/>
      </c>
      <c r="H4" s="20" t="str">
        <f>IFERROR(SUMIFS(INDEX(data!$B$1:$T$46,1,MATCH($C4,data!$B$2:$T$2,0)):INDEX(data!$B$1:$T$46,46,MATCH($C4,data!$B$2:$T$2,0)),
data!$B$1:$B$46,RIGHT($A4,LEN($A4)-SEARCH(":",$A4)-1),
data!$D$1:$D$46,"BF Cash",data!$C$1:$C$46,LEFT($A4,SEARCH(":",$A4)-2))*$D4*
INDEX(data!$B$1:$T$46,MATCH("FTE_value",data!$D$1:$D46,0),MATCH($C4,data!$B$2:$T$2,0)),"")</f>
        <v/>
      </c>
      <c r="I4" s="20" t="str">
        <f>IFERROR(SUMIFS(INDEX(data!$B$1:$T$46,1,MATCH($C4,data!$B$2:$T$2,0)):INDEX(data!$B$1:$T$46,46,MATCH($C4,data!$B$2:$T$2,0)),
data!$B$1:$B$46,RIGHT($A4,LEN($A4)-SEARCH(":",$A4)-1),
data!$D$1:$D$46,"BF Inkind",data!$C$1:$C$46,LEFT($A4,SEARCH(":",$A4)-2))*$D4,"")</f>
        <v/>
      </c>
    </row>
    <row r="5" spans="1:9" x14ac:dyDescent="0.25">
      <c r="A5" s="118"/>
      <c r="B5" s="119"/>
      <c r="C5" s="18"/>
      <c r="D5" s="19"/>
      <c r="F5" s="84" t="str">
        <f>IFERROR(SUMIFS(INDEX(data!$B$1:$T$46,1,MATCH($C5,data!$B$2:$T$2,0)):INDEX(data!$B$1:$T$46,46,MATCH($C5,data!$B$2:$T$2,0)),
data!$B$1:$B$46,RIGHT($A5,LEN($A5)-SEARCH(":",$A5)-1),
data!$D$1:$D$46,"BF Cash",data!$C$1:$C$46,LEFT($A5,SEARCH(":",$A5)-2)),"")</f>
        <v/>
      </c>
      <c r="G5" s="84" t="str">
        <f t="shared" ref="G5:G18" si="0">IFERROR(D5*F5,"")</f>
        <v/>
      </c>
      <c r="H5" s="20" t="str">
        <f>IFERROR(SUMIFS(INDEX(data!$B$1:$T$46,1,MATCH($C5,data!$B$2:$T$2,0)):INDEX(data!$B$1:$T$46,46,MATCH($C5,data!$B$2:$T$2,0)),
data!$B$1:$B$46,RIGHT($A5,LEN($A5)-SEARCH(":",$A5)-1),
data!$D$1:$D$46,"BF Cash",data!$C$1:$C$46,LEFT($A5,SEARCH(":",$A5)-2))*$D5*
INDEX(data!$B$1:$T$46,MATCH("FTE_value",data!$D$1:$D47,0),MATCH($C5,data!$B$2:$T$2,0)),"")</f>
        <v/>
      </c>
      <c r="I5" s="20" t="str">
        <f>IFERROR(SUMIFS(INDEX(data!$B$1:$T$46,1,MATCH($C5,data!$B$2:$T$2,0)):INDEX(data!$B$1:$T$46,46,MATCH($C5,data!$B$2:$T$2,0)),
data!$B$1:$B$46,RIGHT($A5,LEN($A5)-SEARCH(":",$A5)-1),
data!$D$1:$D$46,"BF Inkind",data!$C$1:$C$46,LEFT($A5,SEARCH(":",$A5)-2))*$D5,"")</f>
        <v/>
      </c>
    </row>
    <row r="6" spans="1:9" x14ac:dyDescent="0.25">
      <c r="A6" s="118"/>
      <c r="B6" s="119"/>
      <c r="C6" s="18"/>
      <c r="D6" s="19"/>
      <c r="F6" s="84" t="str">
        <f>IFERROR(SUMIFS(INDEX(data!$B$1:$T$46,1,MATCH($C6,data!$B$2:$T$2,0)):INDEX(data!$B$1:$T$46,46,MATCH($C6,data!$B$2:$T$2,0)),
data!$B$1:$B$46,RIGHT($A6,LEN($A6)-SEARCH(":",$A6)-1),
data!$D$1:$D$46,"BF Cash",data!$C$1:$C$46,LEFT($A6,SEARCH(":",$A6)-2)),"")</f>
        <v/>
      </c>
      <c r="G6" s="84" t="str">
        <f t="shared" si="0"/>
        <v/>
      </c>
      <c r="H6" s="20" t="str">
        <f>IFERROR(SUMIFS(INDEX(data!$B$1:$T$46,1,MATCH($C6,data!$B$2:$T$2,0)):INDEX(data!$B$1:$T$46,46,MATCH($C6,data!$B$2:$T$2,0)),
data!$B$1:$B$46,RIGHT($A6,LEN($A6)-SEARCH(":",$A6)-1),
data!$D$1:$D$46,"BF Cash",data!$C$1:$C$46,LEFT($A6,SEARCH(":",$A6)-2))*$D6*
INDEX(data!$B$1:$T$46,MATCH("FTE_value",data!$D$1:$D48,0),MATCH($C6,data!$B$2:$T$2,0)),"")</f>
        <v/>
      </c>
      <c r="I6" s="20" t="str">
        <f>IFERROR(SUMIFS(INDEX(data!$B$1:$T$46,1,MATCH($C6,data!$B$2:$T$2,0)):INDEX(data!$B$1:$T$46,46,MATCH($C6,data!$B$2:$T$2,0)),
data!$B$1:$B$46,RIGHT($A6,LEN($A6)-SEARCH(":",$A6)-1),
data!$D$1:$D$46,"BF Inkind",data!$C$1:$C$46,LEFT($A6,SEARCH(":",$A6)-2))*$D6,"")</f>
        <v/>
      </c>
    </row>
    <row r="7" spans="1:9" x14ac:dyDescent="0.25">
      <c r="A7" s="118"/>
      <c r="B7" s="119"/>
      <c r="C7" s="18"/>
      <c r="D7" s="19"/>
      <c r="F7" s="84" t="str">
        <f>IFERROR(SUMIFS(INDEX(data!$B$1:$T$46,1,MATCH($C7,data!$B$2:$T$2,0)):INDEX(data!$B$1:$T$46,46,MATCH($C7,data!$B$2:$T$2,0)),
data!$B$1:$B$46,RIGHT($A7,LEN($A7)-SEARCH(":",$A7)-1),
data!$D$1:$D$46,"BF Cash",data!$C$1:$C$46,LEFT($A7,SEARCH(":",$A7)-2)),"")</f>
        <v/>
      </c>
      <c r="G7" s="84" t="str">
        <f t="shared" si="0"/>
        <v/>
      </c>
      <c r="H7" s="20" t="str">
        <f>IFERROR(SUMIFS(INDEX(data!$B$1:$T$46,1,MATCH($C7,data!$B$2:$T$2,0)):INDEX(data!$B$1:$T$46,46,MATCH($C7,data!$B$2:$T$2,0)),
data!$B$1:$B$46,RIGHT($A7,LEN($A7)-SEARCH(":",$A7)-1),
data!$D$1:$D$46,"BF Cash",data!$C$1:$C$46,LEFT($A7,SEARCH(":",$A7)-2))*$D7*
INDEX(data!$B$1:$T$46,MATCH("FTE_value",data!$D$1:$D49,0),MATCH($C7,data!$B$2:$T$2,0)),"")</f>
        <v/>
      </c>
      <c r="I7" s="20" t="str">
        <f>IFERROR(SUMIFS(INDEX(data!$B$1:$T$46,1,MATCH($C7,data!$B$2:$T$2,0)):INDEX(data!$B$1:$T$46,46,MATCH($C7,data!$B$2:$T$2,0)),
data!$B$1:$B$46,RIGHT($A7,LEN($A7)-SEARCH(":",$A7)-1),
data!$D$1:$D$46,"BF Inkind",data!$C$1:$C$46,LEFT($A7,SEARCH(":",$A7)-2))*$D7,"")</f>
        <v/>
      </c>
    </row>
    <row r="8" spans="1:9" x14ac:dyDescent="0.25">
      <c r="A8" s="118"/>
      <c r="B8" s="119"/>
      <c r="C8" s="18"/>
      <c r="D8" s="19"/>
      <c r="F8" s="84" t="str">
        <f>IFERROR(SUMIFS(INDEX(data!$B$1:$T$46,1,MATCH($C8,data!$B$2:$T$2,0)):INDEX(data!$B$1:$T$46,46,MATCH($C8,data!$B$2:$T$2,0)),
data!$B$1:$B$46,RIGHT($A8,LEN($A8)-SEARCH(":",$A8)-1),
data!$D$1:$D$46,"BF Cash",data!$C$1:$C$46,LEFT($A8,SEARCH(":",$A8)-2)),"")</f>
        <v/>
      </c>
      <c r="G8" s="84" t="str">
        <f t="shared" si="0"/>
        <v/>
      </c>
      <c r="H8" s="20" t="str">
        <f>IFERROR(SUMIFS(INDEX(data!$B$1:$T$46,1,MATCH($C8,data!$B$2:$T$2,0)):INDEX(data!$B$1:$T$46,46,MATCH($C8,data!$B$2:$T$2,0)),
data!$B$1:$B$46,RIGHT($A8,LEN($A8)-SEARCH(":",$A8)-1),
data!$D$1:$D$46,"BF Cash",data!$C$1:$C$46,LEFT($A8,SEARCH(":",$A8)-2))*$D8*
INDEX(data!$B$1:$T$46,MATCH("FTE_value",data!$D$1:$D50,0),MATCH($C8,data!$B$2:$T$2,0)),"")</f>
        <v/>
      </c>
      <c r="I8" s="20" t="str">
        <f>IFERROR(SUMIFS(INDEX(data!$B$1:$T$46,1,MATCH($C8,data!$B$2:$T$2,0)):INDEX(data!$B$1:$T$46,46,MATCH($C8,data!$B$2:$T$2,0)),
data!$B$1:$B$46,RIGHT($A8,LEN($A8)-SEARCH(":",$A8)-1),
data!$D$1:$D$46,"BF Inkind",data!$C$1:$C$46,LEFT($A8,SEARCH(":",$A8)-2))*$D8,"")</f>
        <v/>
      </c>
    </row>
    <row r="9" spans="1:9" x14ac:dyDescent="0.25">
      <c r="A9" s="118"/>
      <c r="B9" s="119"/>
      <c r="C9" s="18"/>
      <c r="D9" s="19"/>
      <c r="F9" s="84" t="str">
        <f>IFERROR(SUMIFS(INDEX(data!$B$1:$T$46,1,MATCH($C9,data!$B$2:$T$2,0)):INDEX(data!$B$1:$T$46,46,MATCH($C9,data!$B$2:$T$2,0)),
data!$B$1:$B$46,RIGHT($A9,LEN($A9)-SEARCH(":",$A9)-1),
data!$D$1:$D$46,"BF Cash",data!$C$1:$C$46,LEFT($A9,SEARCH(":",$A9)-2)),"")</f>
        <v/>
      </c>
      <c r="G9" s="84" t="str">
        <f t="shared" si="0"/>
        <v/>
      </c>
      <c r="H9" s="20" t="str">
        <f>IFERROR(SUMIFS(INDEX(data!$B$1:$T$46,1,MATCH($C9,data!$B$2:$T$2,0)):INDEX(data!$B$1:$T$46,46,MATCH($C9,data!$B$2:$T$2,0)),
data!$B$1:$B$46,RIGHT($A9,LEN($A9)-SEARCH(":",$A9)-1),
data!$D$1:$D$46,"BF Cash",data!$C$1:$C$46,LEFT($A9,SEARCH(":",$A9)-2))*$D9*
INDEX(data!$B$1:$T$46,MATCH("FTE_value",data!$D$1:$D51,0),MATCH($C9,data!$B$2:$T$2,0)),"")</f>
        <v/>
      </c>
      <c r="I9" s="20" t="str">
        <f>IFERROR(SUMIFS(INDEX(data!$B$1:$T$46,1,MATCH($C9,data!$B$2:$T$2,0)):INDEX(data!$B$1:$T$46,46,MATCH($C9,data!$B$2:$T$2,0)),
data!$B$1:$B$46,RIGHT($A9,LEN($A9)-SEARCH(":",$A9)-1),
data!$D$1:$D$46,"BF Inkind",data!$C$1:$C$46,LEFT($A9,SEARCH(":",$A9)-2))*$D9,"")</f>
        <v/>
      </c>
    </row>
    <row r="10" spans="1:9" x14ac:dyDescent="0.25">
      <c r="A10" s="118"/>
      <c r="B10" s="119"/>
      <c r="C10" s="18"/>
      <c r="D10" s="19"/>
      <c r="F10" s="84" t="str">
        <f>IFERROR(SUMIFS(INDEX(data!$B$1:$T$46,1,MATCH($C10,data!$B$2:$T$2,0)):INDEX(data!$B$1:$T$46,46,MATCH($C10,data!$B$2:$T$2,0)),
data!$B$1:$B$46,RIGHT($A10,LEN($A10)-SEARCH(":",$A10)-1),
data!$D$1:$D$46,"BF Cash",data!$C$1:$C$46,LEFT($A10,SEARCH(":",$A10)-2)),"")</f>
        <v/>
      </c>
      <c r="G10" s="84" t="str">
        <f t="shared" si="0"/>
        <v/>
      </c>
      <c r="H10" s="20" t="str">
        <f>IFERROR(SUMIFS(INDEX(data!$B$1:$T$46,1,MATCH($C10,data!$B$2:$T$2,0)):INDEX(data!$B$1:$T$46,46,MATCH($C10,data!$B$2:$T$2,0)),
data!$B$1:$B$46,RIGHT($A10,LEN($A10)-SEARCH(":",$A10)-1),
data!$D$1:$D$46,"BF Cash",data!$C$1:$C$46,LEFT($A10,SEARCH(":",$A10)-2))*$D10*
INDEX(data!$B$1:$T$46,MATCH("FTE_value",data!$D$1:$D52,0),MATCH($C10,data!$B$2:$T$2,0)),"")</f>
        <v/>
      </c>
      <c r="I10" s="20" t="str">
        <f>IFERROR(SUMIFS(INDEX(data!$B$1:$T$46,1,MATCH($C10,data!$B$2:$T$2,0)):INDEX(data!$B$1:$T$46,46,MATCH($C10,data!$B$2:$T$2,0)),
data!$B$1:$B$46,RIGHT($A10,LEN($A10)-SEARCH(":",$A10)-1),
data!$D$1:$D$46,"BF Inkind",data!$C$1:$C$46,LEFT($A10,SEARCH(":",$A10)-2))*$D10,"")</f>
        <v/>
      </c>
    </row>
    <row r="11" spans="1:9" x14ac:dyDescent="0.25">
      <c r="A11" s="118"/>
      <c r="B11" s="119"/>
      <c r="C11" s="18"/>
      <c r="D11" s="19"/>
      <c r="F11" s="84" t="str">
        <f>IFERROR(SUMIFS(INDEX(data!$B$1:$T$46,1,MATCH($C11,data!$B$2:$T$2,0)):INDEX(data!$B$1:$T$46,46,MATCH($C11,data!$B$2:$T$2,0)),
data!$B$1:$B$46,RIGHT($A11,LEN($A11)-SEARCH(":",$A11)-1),
data!$D$1:$D$46,"BF Cash",data!$C$1:$C$46,LEFT($A11,SEARCH(":",$A11)-2)),"")</f>
        <v/>
      </c>
      <c r="G11" s="84" t="str">
        <f t="shared" si="0"/>
        <v/>
      </c>
      <c r="H11" s="20" t="str">
        <f>IFERROR(SUMIFS(INDEX(data!$B$1:$T$46,1,MATCH($C11,data!$B$2:$T$2,0)):INDEX(data!$B$1:$T$46,46,MATCH($C11,data!$B$2:$T$2,0)),
data!$B$1:$B$46,RIGHT($A11,LEN($A11)-SEARCH(":",$A11)-1),
data!$D$1:$D$46,"BF Cash",data!$C$1:$C$46,LEFT($A11,SEARCH(":",$A11)-2))*$D11*
INDEX(data!$B$1:$T$46,MATCH("FTE_value",data!$D$1:$D53,0),MATCH($C11,data!$B$2:$T$2,0)),"")</f>
        <v/>
      </c>
      <c r="I11" s="20" t="str">
        <f>IFERROR(SUMIFS(INDEX(data!$B$1:$T$46,1,MATCH($C11,data!$B$2:$T$2,0)):INDEX(data!$B$1:$T$46,46,MATCH($C11,data!$B$2:$T$2,0)),
data!$B$1:$B$46,RIGHT($A11,LEN($A11)-SEARCH(":",$A11)-1),
data!$D$1:$D$46,"BF Inkind",data!$C$1:$C$46,LEFT($A11,SEARCH(":",$A11)-2))*$D11,"")</f>
        <v/>
      </c>
    </row>
    <row r="12" spans="1:9" x14ac:dyDescent="0.25">
      <c r="A12" s="118"/>
      <c r="B12" s="119"/>
      <c r="C12" s="18"/>
      <c r="D12" s="19"/>
      <c r="F12" s="84" t="str">
        <f>IFERROR(SUMIFS(INDEX(data!$B$1:$T$46,1,MATCH($C12,data!$B$2:$T$2,0)):INDEX(data!$B$1:$T$46,46,MATCH($C12,data!$B$2:$T$2,0)),
data!$B$1:$B$46,RIGHT($A12,LEN($A12)-SEARCH(":",$A12)-1),
data!$D$1:$D$46,"BF Cash",data!$C$1:$C$46,LEFT($A12,SEARCH(":",$A12)-2)),"")</f>
        <v/>
      </c>
      <c r="G12" s="84" t="str">
        <f t="shared" si="0"/>
        <v/>
      </c>
      <c r="H12" s="20" t="str">
        <f>IFERROR(SUMIFS(INDEX(data!$B$1:$T$46,1,MATCH($C12,data!$B$2:$T$2,0)):INDEX(data!$B$1:$T$46,46,MATCH($C12,data!$B$2:$T$2,0)),
data!$B$1:$B$46,RIGHT($A12,LEN($A12)-SEARCH(":",$A12)-1),
data!$D$1:$D$46,"BF Cash",data!$C$1:$C$46,LEFT($A12,SEARCH(":",$A12)-2))*$D12*
INDEX(data!$B$1:$T$46,MATCH("FTE_value",data!$D$1:$D54,0),MATCH($C12,data!$B$2:$T$2,0)),"")</f>
        <v/>
      </c>
      <c r="I12" s="20" t="str">
        <f>IFERROR(SUMIFS(INDEX(data!$B$1:$T$46,1,MATCH($C12,data!$B$2:$T$2,0)):INDEX(data!$B$1:$T$46,46,MATCH($C12,data!$B$2:$T$2,0)),
data!$B$1:$B$46,RIGHT($A12,LEN($A12)-SEARCH(":",$A12)-1),
data!$D$1:$D$46,"BF Inkind",data!$C$1:$C$46,LEFT($A12,SEARCH(":",$A12)-2))*$D12,"")</f>
        <v/>
      </c>
    </row>
    <row r="13" spans="1:9" x14ac:dyDescent="0.25">
      <c r="A13" s="118"/>
      <c r="B13" s="119"/>
      <c r="C13" s="18"/>
      <c r="D13" s="19"/>
      <c r="F13" s="84" t="str">
        <f>IFERROR(SUMIFS(INDEX(data!$B$1:$T$46,1,MATCH($C13,data!$B$2:$T$2,0)):INDEX(data!$B$1:$T$46,46,MATCH($C13,data!$B$2:$T$2,0)),
data!$B$1:$B$46,RIGHT($A13,LEN($A13)-SEARCH(":",$A13)-1),
data!$D$1:$D$46,"BF Cash",data!$C$1:$C$46,LEFT($A13,SEARCH(":",$A13)-2)),"")</f>
        <v/>
      </c>
      <c r="G13" s="84" t="str">
        <f t="shared" si="0"/>
        <v/>
      </c>
      <c r="H13" s="20" t="str">
        <f>IFERROR(SUMIFS(INDEX(data!$B$1:$T$46,1,MATCH($C13,data!$B$2:$T$2,0)):INDEX(data!$B$1:$T$46,46,MATCH($C13,data!$B$2:$T$2,0)),
data!$B$1:$B$46,RIGHT($A13,LEN($A13)-SEARCH(":",$A13)-1),
data!$D$1:$D$46,"BF Cash",data!$C$1:$C$46,LEFT($A13,SEARCH(":",$A13)-2))*$D13*
INDEX(data!$B$1:$T$46,MATCH("FTE_value",data!$D$1:$D55,0),MATCH($C13,data!$B$2:$T$2,0)),"")</f>
        <v/>
      </c>
      <c r="I13" s="20" t="str">
        <f>IFERROR(SUMIFS(INDEX(data!$B$1:$T$46,1,MATCH($C13,data!$B$2:$T$2,0)):INDEX(data!$B$1:$T$46,46,MATCH($C13,data!$B$2:$T$2,0)),
data!$B$1:$B$46,RIGHT($A13,LEN($A13)-SEARCH(":",$A13)-1),
data!$D$1:$D$46,"BF Inkind",data!$C$1:$C$46,LEFT($A13,SEARCH(":",$A13)-2))*$D13,"")</f>
        <v/>
      </c>
    </row>
    <row r="14" spans="1:9" x14ac:dyDescent="0.25">
      <c r="A14" s="118"/>
      <c r="B14" s="119"/>
      <c r="C14" s="18"/>
      <c r="D14" s="19"/>
      <c r="F14" s="84" t="str">
        <f>IFERROR(SUMIFS(INDEX(data!$B$1:$T$46,1,MATCH($C14,data!$B$2:$T$2,0)):INDEX(data!$B$1:$T$46,46,MATCH($C14,data!$B$2:$T$2,0)),
data!$B$1:$B$46,RIGHT($A14,LEN($A14)-SEARCH(":",$A14)-1),
data!$D$1:$D$46,"BF Cash",data!$C$1:$C$46,LEFT($A14,SEARCH(":",$A14)-2)),"")</f>
        <v/>
      </c>
      <c r="G14" s="84" t="str">
        <f t="shared" si="0"/>
        <v/>
      </c>
      <c r="H14" s="20" t="str">
        <f>IFERROR(SUMIFS(INDEX(data!$B$1:$T$46,1,MATCH($C14,data!$B$2:$T$2,0)):INDEX(data!$B$1:$T$46,46,MATCH($C14,data!$B$2:$T$2,0)),
data!$B$1:$B$46,RIGHT($A14,LEN($A14)-SEARCH(":",$A14)-1),
data!$D$1:$D$46,"BF Cash",data!$C$1:$C$46,LEFT($A14,SEARCH(":",$A14)-2))*$D14*
INDEX(data!$B$1:$T$46,MATCH("FTE_value",data!$D$1:$D56,0),MATCH($C14,data!$B$2:$T$2,0)),"")</f>
        <v/>
      </c>
      <c r="I14" s="20" t="str">
        <f>IFERROR(SUMIFS(INDEX(data!$B$1:$T$46,1,MATCH($C14,data!$B$2:$T$2,0)):INDEX(data!$B$1:$T$46,46,MATCH($C14,data!$B$2:$T$2,0)),
data!$B$1:$B$46,RIGHT($A14,LEN($A14)-SEARCH(":",$A14)-1),
data!$D$1:$D$46,"BF Inkind",data!$C$1:$C$46,LEFT($A14,SEARCH(":",$A14)-2))*$D14,"")</f>
        <v/>
      </c>
    </row>
    <row r="15" spans="1:9" x14ac:dyDescent="0.25">
      <c r="A15" s="118"/>
      <c r="B15" s="119"/>
      <c r="C15" s="18"/>
      <c r="D15" s="19"/>
      <c r="F15" s="84" t="str">
        <f>IFERROR(SUMIFS(INDEX(data!$B$1:$T$46,1,MATCH($C15,data!$B$2:$T$2,0)):INDEX(data!$B$1:$T$46,46,MATCH($C15,data!$B$2:$T$2,0)),
data!$B$1:$B$46,RIGHT($A15,LEN($A15)-SEARCH(":",$A15)-1),
data!$D$1:$D$46,"BF Cash",data!$C$1:$C$46,LEFT($A15,SEARCH(":",$A15)-2)),"")</f>
        <v/>
      </c>
      <c r="G15" s="84" t="str">
        <f t="shared" si="0"/>
        <v/>
      </c>
      <c r="H15" s="20" t="str">
        <f>IFERROR(SUMIFS(INDEX(data!$B$1:$T$46,1,MATCH($C15,data!$B$2:$T$2,0)):INDEX(data!$B$1:$T$46,46,MATCH($C15,data!$B$2:$T$2,0)),
data!$B$1:$B$46,RIGHT($A15,LEN($A15)-SEARCH(":",$A15)-1),
data!$D$1:$D$46,"BF Cash",data!$C$1:$C$46,LEFT($A15,SEARCH(":",$A15)-2))*$D15*
INDEX(data!$B$1:$T$46,MATCH("FTE_value",data!$D$1:$D57,0),MATCH($C15,data!$B$2:$T$2,0)),"")</f>
        <v/>
      </c>
      <c r="I15" s="20" t="str">
        <f>IFERROR(SUMIFS(INDEX(data!$B$1:$T$46,1,MATCH($C15,data!$B$2:$T$2,0)):INDEX(data!$B$1:$T$46,46,MATCH($C15,data!$B$2:$T$2,0)),
data!$B$1:$B$46,RIGHT($A15,LEN($A15)-SEARCH(":",$A15)-1),
data!$D$1:$D$46,"BF Inkind",data!$C$1:$C$46,LEFT($A15,SEARCH(":",$A15)-2))*$D15,"")</f>
        <v/>
      </c>
    </row>
    <row r="16" spans="1:9" x14ac:dyDescent="0.25">
      <c r="A16" s="118"/>
      <c r="B16" s="119"/>
      <c r="C16" s="18"/>
      <c r="D16" s="19"/>
      <c r="F16" s="84" t="str">
        <f>IFERROR(SUMIFS(INDEX(data!$B$1:$T$46,1,MATCH($C16,data!$B$2:$T$2,0)):INDEX(data!$B$1:$T$46,46,MATCH($C16,data!$B$2:$T$2,0)),
data!$B$1:$B$46,RIGHT($A16,LEN($A16)-SEARCH(":",$A16)-1),
data!$D$1:$D$46,"BF Cash",data!$C$1:$C$46,LEFT($A16,SEARCH(":",$A16)-2)),"")</f>
        <v/>
      </c>
      <c r="G16" s="84" t="str">
        <f t="shared" si="0"/>
        <v/>
      </c>
      <c r="H16" s="20" t="str">
        <f>IFERROR(SUMIFS(INDEX(data!$B$1:$T$46,1,MATCH($C16,data!$B$2:$T$2,0)):INDEX(data!$B$1:$T$46,46,MATCH($C16,data!$B$2:$T$2,0)),
data!$B$1:$B$46,RIGHT($A16,LEN($A16)-SEARCH(":",$A16)-1),
data!$D$1:$D$46,"BF Cash",data!$C$1:$C$46,LEFT($A16,SEARCH(":",$A16)-2))*$D16*
INDEX(data!$B$1:$T$46,MATCH("FTE_value",data!$D$1:$D58,0),MATCH($C16,data!$B$2:$T$2,0)),"")</f>
        <v/>
      </c>
      <c r="I16" s="20" t="str">
        <f>IFERROR(SUMIFS(INDEX(data!$B$1:$T$46,1,MATCH($C16,data!$B$2:$T$2,0)):INDEX(data!$B$1:$T$46,46,MATCH($C16,data!$B$2:$T$2,0)),
data!$B$1:$B$46,RIGHT($A16,LEN($A16)-SEARCH(":",$A16)-1),
data!$D$1:$D$46,"BF Inkind",data!$C$1:$C$46,LEFT($A16,SEARCH(":",$A16)-2))*$D16,"")</f>
        <v/>
      </c>
    </row>
    <row r="17" spans="1:9" x14ac:dyDescent="0.25">
      <c r="A17" s="118"/>
      <c r="B17" s="119"/>
      <c r="C17" s="18"/>
      <c r="D17" s="19"/>
      <c r="F17" s="84" t="str">
        <f>IFERROR(SUMIFS(INDEX(data!$B$1:$T$46,1,MATCH($C17,data!$B$2:$T$2,0)):INDEX(data!$B$1:$T$46,46,MATCH($C17,data!$B$2:$T$2,0)),
data!$B$1:$B$46,RIGHT($A17,LEN($A17)-SEARCH(":",$A17)-1),
data!$D$1:$D$46,"BF Cash",data!$C$1:$C$46,LEFT($A17,SEARCH(":",$A17)-2)),"")</f>
        <v/>
      </c>
      <c r="G17" s="84" t="str">
        <f t="shared" si="0"/>
        <v/>
      </c>
      <c r="H17" s="20" t="str">
        <f>IFERROR(SUMIFS(INDEX(data!$B$1:$T$46,1,MATCH($C17,data!$B$2:$T$2,0)):INDEX(data!$B$1:$T$46,46,MATCH($C17,data!$B$2:$T$2,0)),
data!$B$1:$B$46,RIGHT($A17,LEN($A17)-SEARCH(":",$A17)-1),
data!$D$1:$D$46,"BF Cash",data!$C$1:$C$46,LEFT($A17,SEARCH(":",$A17)-2))*$D17*
INDEX(data!$B$1:$T$46,MATCH("FTE_value",data!$D$1:$D59,0),MATCH($C17,data!$B$2:$T$2,0)),"")</f>
        <v/>
      </c>
      <c r="I17" s="20" t="str">
        <f>IFERROR(SUMIFS(INDEX(data!$B$1:$T$46,1,MATCH($C17,data!$B$2:$T$2,0)):INDEX(data!$B$1:$T$46,46,MATCH($C17,data!$B$2:$T$2,0)),
data!$B$1:$B$46,RIGHT($A17,LEN($A17)-SEARCH(":",$A17)-1),
data!$D$1:$D$46,"BF Inkind",data!$C$1:$C$46,LEFT($A17,SEARCH(":",$A17)-2))*$D17,"")</f>
        <v/>
      </c>
    </row>
    <row r="18" spans="1:9" x14ac:dyDescent="0.25">
      <c r="A18" s="118"/>
      <c r="B18" s="119"/>
      <c r="C18" s="18"/>
      <c r="D18" s="19"/>
      <c r="F18" s="84" t="str">
        <f>IFERROR(SUMIFS(INDEX(data!$B$1:$T$46,1,MATCH($C18,data!$B$2:$T$2,0)):INDEX(data!$B$1:$T$46,46,MATCH($C18,data!$B$2:$T$2,0)),
data!$B$1:$B$46,RIGHT($A18,LEN($A18)-SEARCH(":",$A18)-1),
data!$D$1:$D$46,"BF Cash",data!$C$1:$C$46,LEFT($A18,SEARCH(":",$A18)-2)),"")</f>
        <v/>
      </c>
      <c r="G18" s="84" t="str">
        <f t="shared" si="0"/>
        <v/>
      </c>
      <c r="H18" s="20" t="str">
        <f>IFERROR(SUMIFS(INDEX(data!$B$1:$T$46,1,MATCH($C18,data!$B$2:$T$2,0)):INDEX(data!$B$1:$T$46,46,MATCH($C18,data!$B$2:$T$2,0)),
data!$B$1:$B$46,RIGHT($A18,LEN($A18)-SEARCH(":",$A18)-1),
data!$D$1:$D$46,"BF Cash",data!$C$1:$C$46,LEFT($A18,SEARCH(":",$A18)-2))*$D18*
INDEX(data!$B$1:$T$46,MATCH("FTE_value",data!$D$1:$D60,0),MATCH($C18,data!$B$2:$T$2,0)),"")</f>
        <v/>
      </c>
      <c r="I18" s="20" t="str">
        <f>IFERROR(SUMIFS(INDEX(data!$B$1:$T$46,1,MATCH($C18,data!$B$2:$T$2,0)):INDEX(data!$B$1:$T$46,46,MATCH($C18,data!$B$2:$T$2,0)),
data!$B$1:$B$46,RIGHT($A18,LEN($A18)-SEARCH(":",$A18)-1),
data!$D$1:$D$46,"BF Inkind",data!$C$1:$C$46,LEFT($A18,SEARCH(":",$A18)-2))*$D18,"")</f>
        <v/>
      </c>
    </row>
    <row r="19" spans="1:9" x14ac:dyDescent="0.25">
      <c r="B19" s="74"/>
      <c r="F19" s="85"/>
    </row>
    <row r="20" spans="1:9" x14ac:dyDescent="0.25">
      <c r="A20" s="35" t="s">
        <v>1</v>
      </c>
      <c r="B20" s="35"/>
      <c r="C20" s="35"/>
      <c r="D20" s="75">
        <f>SUM(D4:D18)</f>
        <v>0</v>
      </c>
      <c r="F20" s="86">
        <f>SUM(F4:F18)</f>
        <v>0</v>
      </c>
      <c r="G20" s="86">
        <f>SUM(G4:G18)</f>
        <v>0</v>
      </c>
      <c r="H20" s="76">
        <f>SUM(H4:H18)</f>
        <v>0</v>
      </c>
      <c r="I20" s="76">
        <f>SUM(I4:I18)</f>
        <v>0</v>
      </c>
    </row>
    <row r="22" spans="1:9" x14ac:dyDescent="0.25">
      <c r="H22" s="87"/>
    </row>
  </sheetData>
  <sheetProtection algorithmName="SHA-512" hashValue="mPImsSEj4DJ4dltxPdD4dbnl+Ix3hhzJqR1+D7HOHtkgJ6UdJtMqiP7ACRDu0ZfWYZZlyzCm9h2JQ4CdnPkdKg==" saltValue="xXuLMHt9cqnv4ekM9o/UtA==" spinCount="100000" sheet="1" objects="1" scenarios="1"/>
  <mergeCells count="17">
    <mergeCell ref="A13:B13"/>
    <mergeCell ref="A1:I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B14"/>
    <mergeCell ref="A15:B15"/>
    <mergeCell ref="A16:B16"/>
    <mergeCell ref="A17:B17"/>
    <mergeCell ref="A18:B18"/>
  </mergeCells>
  <phoneticPr fontId="16" type="noConversion"/>
  <dataValidations count="3">
    <dataValidation type="decimal" allowBlank="1" showInputMessage="1" showErrorMessage="1" errorTitle="Entry error" error="Enter as a decimal the number of equivalent base experiments that will be used at this facility in the selected financial year" promptTitle="Number of experiments" prompt="Please enter as a decimal the number of equivalent base experiments that will be used at this facility in the selected financial year" sqref="D4:D18" xr:uid="{2549715A-0F24-417B-BA71-96AA021F5CD2}">
      <formula1>0</formula1>
      <formula2>50</formula2>
    </dataValidation>
    <dataValidation type="list" allowBlank="1" showInputMessage="1" showErrorMessage="1" errorTitle="Selection error" error="Select the Financial Year that the facility will be required" promptTitle="Financial Year" prompt="Please select the Financial Year that the facility will be required" sqref="C4:C18" xr:uid="{03E1F93B-C88A-4B24-94A9-5165BAAD484D}">
      <formula1>FFYears</formula1>
    </dataValidation>
    <dataValidation type="list" allowBlank="1" showInputMessage="1" showErrorMessage="1" errorTitle="Selection error" error="Please select location and facility type from the available list" promptTitle="Location / Facility type" prompt="Please select location and facility type from the available list" sqref="A4:B18" xr:uid="{67C17339-FA06-435C-9C0D-23DDD1DE9E27}">
      <formula1>Facilities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AB64"/>
  <sheetViews>
    <sheetView workbookViewId="0">
      <selection activeCell="G2" sqref="G2"/>
    </sheetView>
  </sheetViews>
  <sheetFormatPr defaultColWidth="8.7109375" defaultRowHeight="15" x14ac:dyDescent="0.25"/>
  <cols>
    <col min="1" max="1" width="2.7109375" customWidth="1"/>
    <col min="2" max="2" width="55.28515625" bestFit="1" customWidth="1"/>
    <col min="3" max="3" width="20.28515625" bestFit="1" customWidth="1"/>
    <col min="4" max="4" width="13.28515625" customWidth="1"/>
    <col min="5" max="5" width="2.140625" customWidth="1"/>
    <col min="6" max="6" width="13.7109375" hidden="1" customWidth="1"/>
    <col min="7" max="11" width="13.7109375" customWidth="1"/>
    <col min="12" max="19" width="13.7109375" hidden="1" customWidth="1"/>
    <col min="20" max="20" width="13.7109375" customWidth="1"/>
    <col min="22" max="25" width="12.28515625" bestFit="1" customWidth="1"/>
    <col min="26" max="28" width="9.7109375" bestFit="1" customWidth="1"/>
  </cols>
  <sheetData>
    <row r="1" spans="2:28" x14ac:dyDescent="0.25">
      <c r="B1" t="s">
        <v>24</v>
      </c>
      <c r="V1" s="82">
        <v>400000</v>
      </c>
      <c r="W1" s="82">
        <v>270000</v>
      </c>
      <c r="X1" s="82">
        <v>210000</v>
      </c>
      <c r="Y1" s="82">
        <v>170000</v>
      </c>
    </row>
    <row r="2" spans="2:28" ht="15.75" x14ac:dyDescent="0.3">
      <c r="B2" s="2" t="s">
        <v>27</v>
      </c>
      <c r="C2" s="2" t="s">
        <v>45</v>
      </c>
      <c r="D2" s="2" t="s">
        <v>28</v>
      </c>
      <c r="F2" s="1" t="s">
        <v>55</v>
      </c>
      <c r="G2" s="1" t="s">
        <v>56</v>
      </c>
      <c r="H2" s="1" t="s">
        <v>57</v>
      </c>
      <c r="I2" s="1" t="s">
        <v>66</v>
      </c>
      <c r="J2" s="1" t="s">
        <v>89</v>
      </c>
      <c r="K2" s="2"/>
      <c r="L2" s="1"/>
      <c r="M2" s="1"/>
      <c r="N2" s="1"/>
      <c r="O2" s="1"/>
      <c r="P2" s="1"/>
      <c r="Q2" s="1"/>
      <c r="R2" s="1"/>
      <c r="S2" s="1"/>
      <c r="T2" s="1"/>
      <c r="V2" t="s">
        <v>76</v>
      </c>
      <c r="W2" t="s">
        <v>77</v>
      </c>
      <c r="X2" t="s">
        <v>78</v>
      </c>
      <c r="Y2" t="s">
        <v>79</v>
      </c>
      <c r="Z2" t="s">
        <v>80</v>
      </c>
      <c r="AA2" t="s">
        <v>37</v>
      </c>
      <c r="AB2" t="s">
        <v>81</v>
      </c>
    </row>
    <row r="3" spans="2:28" ht="15" customHeight="1" x14ac:dyDescent="0.25"/>
    <row r="4" spans="2:28" x14ac:dyDescent="0.25">
      <c r="B4" s="77" t="s">
        <v>58</v>
      </c>
      <c r="C4" s="77" t="s">
        <v>25</v>
      </c>
      <c r="D4" s="77" t="s">
        <v>44</v>
      </c>
      <c r="E4" s="77"/>
      <c r="F4" s="78">
        <v>0.4</v>
      </c>
      <c r="G4" s="23">
        <f t="shared" ref="G4:J23" si="0">+F4</f>
        <v>0.4</v>
      </c>
      <c r="H4" s="23">
        <f t="shared" si="0"/>
        <v>0.4</v>
      </c>
      <c r="I4" s="23">
        <f t="shared" si="0"/>
        <v>0.4</v>
      </c>
      <c r="J4" s="23">
        <f t="shared" si="0"/>
        <v>0.4</v>
      </c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2:28" ht="15.75" customHeight="1" x14ac:dyDescent="0.25">
      <c r="B5" s="77" t="s">
        <v>58</v>
      </c>
      <c r="C5" s="77" t="s">
        <v>25</v>
      </c>
      <c r="D5" s="77" t="s">
        <v>43</v>
      </c>
      <c r="E5" s="77"/>
      <c r="F5" s="79">
        <f>0.015*270000+0.035*170000+11412</f>
        <v>21412</v>
      </c>
      <c r="G5" s="22">
        <f t="shared" si="0"/>
        <v>21412</v>
      </c>
      <c r="H5" s="22">
        <f t="shared" si="0"/>
        <v>21412</v>
      </c>
      <c r="I5" s="22">
        <f t="shared" si="0"/>
        <v>21412</v>
      </c>
      <c r="J5" s="22">
        <f t="shared" si="0"/>
        <v>21412</v>
      </c>
      <c r="K5" s="21"/>
      <c r="L5" s="21"/>
      <c r="M5" s="21"/>
      <c r="N5" s="21"/>
      <c r="O5" s="21"/>
      <c r="P5" s="21"/>
      <c r="Q5" s="21"/>
      <c r="R5" s="21"/>
      <c r="S5" s="21"/>
      <c r="T5" s="21"/>
      <c r="W5">
        <v>1.4999999999999999E-2</v>
      </c>
      <c r="Y5">
        <v>3.5000000000000003E-2</v>
      </c>
      <c r="Z5" s="83">
        <v>11412</v>
      </c>
      <c r="AA5" s="83">
        <f>SUMPRODUCT($V$1:$Y$1,V5:Y5)+Z5</f>
        <v>21412</v>
      </c>
      <c r="AB5" s="83">
        <f>AA5-F5</f>
        <v>0</v>
      </c>
    </row>
    <row r="6" spans="2:28" ht="15.75" customHeight="1" x14ac:dyDescent="0.25">
      <c r="B6" s="77" t="s">
        <v>59</v>
      </c>
      <c r="C6" s="77" t="s">
        <v>25</v>
      </c>
      <c r="D6" s="77" t="s">
        <v>44</v>
      </c>
      <c r="E6" s="77"/>
      <c r="F6" s="78">
        <v>0.5</v>
      </c>
      <c r="G6" s="23">
        <f t="shared" si="0"/>
        <v>0.5</v>
      </c>
      <c r="H6" s="23">
        <f t="shared" si="0"/>
        <v>0.5</v>
      </c>
      <c r="I6" s="23">
        <f t="shared" si="0"/>
        <v>0.5</v>
      </c>
      <c r="J6" s="23">
        <f t="shared" si="0"/>
        <v>0.5</v>
      </c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2:28" ht="15.75" customHeight="1" x14ac:dyDescent="0.25">
      <c r="B7" s="77" t="s">
        <v>59</v>
      </c>
      <c r="C7" s="77" t="s">
        <v>25</v>
      </c>
      <c r="D7" s="77" t="s">
        <v>43</v>
      </c>
      <c r="E7" s="77"/>
      <c r="F7" s="79">
        <f>0.015*270000+0.035*170000+22536</f>
        <v>32536</v>
      </c>
      <c r="G7" s="22">
        <f t="shared" si="0"/>
        <v>32536</v>
      </c>
      <c r="H7" s="22">
        <f t="shared" si="0"/>
        <v>32536</v>
      </c>
      <c r="I7" s="22">
        <f t="shared" si="0"/>
        <v>32536</v>
      </c>
      <c r="J7" s="22">
        <f t="shared" si="0"/>
        <v>32536</v>
      </c>
      <c r="K7" s="21"/>
      <c r="L7" s="21"/>
      <c r="M7" s="21"/>
      <c r="N7" s="21"/>
      <c r="O7" s="21"/>
      <c r="P7" s="21"/>
      <c r="Q7" s="21"/>
      <c r="R7" s="21"/>
      <c r="S7" s="21"/>
      <c r="T7" s="21"/>
      <c r="W7">
        <v>1.4999999999999999E-2</v>
      </c>
      <c r="Y7">
        <v>3.5000000000000003E-2</v>
      </c>
      <c r="Z7" s="83">
        <v>22536</v>
      </c>
      <c r="AA7" s="83">
        <f>SUMPRODUCT($V$1:$Y$1,V7:Y7)+Z7</f>
        <v>32536</v>
      </c>
      <c r="AB7" s="83">
        <f>AA7-F7</f>
        <v>0</v>
      </c>
    </row>
    <row r="8" spans="2:28" ht="15.75" customHeight="1" x14ac:dyDescent="0.3">
      <c r="B8" s="77" t="s">
        <v>60</v>
      </c>
      <c r="C8" s="77" t="s">
        <v>25</v>
      </c>
      <c r="D8" s="77" t="s">
        <v>44</v>
      </c>
      <c r="E8" s="77"/>
      <c r="F8" s="78">
        <v>0.25</v>
      </c>
      <c r="G8" s="88">
        <v>0.3</v>
      </c>
      <c r="H8" s="23">
        <f t="shared" si="0"/>
        <v>0.3</v>
      </c>
      <c r="I8" s="23">
        <f t="shared" si="0"/>
        <v>0.3</v>
      </c>
      <c r="J8" s="23">
        <f t="shared" si="0"/>
        <v>0.3</v>
      </c>
      <c r="K8" s="4"/>
      <c r="L8" s="4"/>
      <c r="M8" s="4"/>
      <c r="N8" s="4"/>
      <c r="O8" s="4"/>
      <c r="P8" s="4"/>
      <c r="Q8" s="4"/>
      <c r="R8" s="4"/>
      <c r="S8" s="4"/>
      <c r="T8" s="4"/>
      <c r="Z8" s="83"/>
    </row>
    <row r="9" spans="2:28" ht="15.75" customHeight="1" x14ac:dyDescent="0.25">
      <c r="B9" s="77" t="s">
        <v>60</v>
      </c>
      <c r="C9" s="77" t="s">
        <v>25</v>
      </c>
      <c r="D9" s="77" t="s">
        <v>43</v>
      </c>
      <c r="F9" s="79">
        <f>0.015*270000+0.035*170000+71425</f>
        <v>81425</v>
      </c>
      <c r="G9" s="22">
        <f t="shared" si="0"/>
        <v>81425</v>
      </c>
      <c r="H9" s="22">
        <f t="shared" si="0"/>
        <v>81425</v>
      </c>
      <c r="I9" s="22">
        <f t="shared" si="0"/>
        <v>81425</v>
      </c>
      <c r="J9" s="22">
        <f t="shared" si="0"/>
        <v>81425</v>
      </c>
      <c r="K9" s="21"/>
      <c r="L9" s="21"/>
      <c r="M9" s="21"/>
      <c r="N9" s="21"/>
      <c r="O9" s="21"/>
      <c r="P9" s="21"/>
      <c r="Q9" s="21"/>
      <c r="R9" s="21"/>
      <c r="S9" s="21"/>
      <c r="T9" s="21"/>
      <c r="W9">
        <v>1.4999999999999999E-2</v>
      </c>
      <c r="Y9">
        <v>3.5000000000000003E-2</v>
      </c>
      <c r="Z9" s="83">
        <v>71425</v>
      </c>
      <c r="AA9" s="83">
        <f>SUMPRODUCT($V$1:$Y$1,V9:Y9)+Z9</f>
        <v>81425</v>
      </c>
      <c r="AB9" s="83">
        <f>AA9-F9</f>
        <v>0</v>
      </c>
    </row>
    <row r="10" spans="2:28" x14ac:dyDescent="0.25">
      <c r="B10" s="77" t="s">
        <v>61</v>
      </c>
      <c r="C10" s="77" t="s">
        <v>25</v>
      </c>
      <c r="D10" s="77" t="s">
        <v>44</v>
      </c>
      <c r="E10" s="77"/>
      <c r="F10" s="78">
        <v>0.15</v>
      </c>
      <c r="G10" s="88">
        <v>0.25</v>
      </c>
      <c r="H10" s="23">
        <f t="shared" si="0"/>
        <v>0.25</v>
      </c>
      <c r="I10" s="23">
        <f t="shared" si="0"/>
        <v>0.25</v>
      </c>
      <c r="J10" s="23">
        <f t="shared" si="0"/>
        <v>0.25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Z10" s="83"/>
    </row>
    <row r="11" spans="2:28" ht="15.75" customHeight="1" x14ac:dyDescent="0.25">
      <c r="B11" s="77" t="s">
        <v>61</v>
      </c>
      <c r="C11" s="77" t="s">
        <v>25</v>
      </c>
      <c r="D11" s="77" t="s">
        <v>43</v>
      </c>
      <c r="F11" s="79">
        <f>0.015*270000+0.015*170000+1825</f>
        <v>8425</v>
      </c>
      <c r="G11" s="22">
        <f t="shared" si="0"/>
        <v>8425</v>
      </c>
      <c r="H11" s="22">
        <f t="shared" si="0"/>
        <v>8425</v>
      </c>
      <c r="I11" s="22">
        <f t="shared" si="0"/>
        <v>8425</v>
      </c>
      <c r="J11" s="22">
        <f t="shared" si="0"/>
        <v>8425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W11">
        <v>1.4999999999999999E-2</v>
      </c>
      <c r="Y11">
        <v>1.4999999999999999E-2</v>
      </c>
      <c r="Z11" s="83">
        <v>1825</v>
      </c>
      <c r="AA11" s="83">
        <f>SUMPRODUCT($V$1:$Y$1,V11:Y11)+Z11</f>
        <v>8425</v>
      </c>
      <c r="AB11" s="83">
        <f>AA11-F11</f>
        <v>0</v>
      </c>
    </row>
    <row r="12" spans="2:28" x14ac:dyDescent="0.25">
      <c r="B12" s="77" t="s">
        <v>62</v>
      </c>
      <c r="C12" s="77" t="s">
        <v>25</v>
      </c>
      <c r="D12" s="77" t="s">
        <v>44</v>
      </c>
      <c r="E12" s="77"/>
      <c r="F12" s="78">
        <v>0.25</v>
      </c>
      <c r="G12" s="23">
        <f t="shared" si="0"/>
        <v>0.25</v>
      </c>
      <c r="H12" s="23">
        <f t="shared" si="0"/>
        <v>0.25</v>
      </c>
      <c r="I12" s="23">
        <f t="shared" si="0"/>
        <v>0.25</v>
      </c>
      <c r="J12" s="23">
        <f t="shared" si="0"/>
        <v>0.25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Z12" s="83"/>
    </row>
    <row r="13" spans="2:28" ht="15.75" customHeight="1" x14ac:dyDescent="0.25">
      <c r="B13" s="77" t="s">
        <v>62</v>
      </c>
      <c r="C13" s="77" t="s">
        <v>25</v>
      </c>
      <c r="D13" s="77" t="s">
        <v>43</v>
      </c>
      <c r="F13" s="79">
        <f>0.015*270000+0.015*170000+22579</f>
        <v>29179</v>
      </c>
      <c r="G13" s="22">
        <f t="shared" si="0"/>
        <v>29179</v>
      </c>
      <c r="H13" s="22">
        <f t="shared" si="0"/>
        <v>29179</v>
      </c>
      <c r="I13" s="22">
        <f t="shared" si="0"/>
        <v>29179</v>
      </c>
      <c r="J13" s="22">
        <f t="shared" si="0"/>
        <v>29179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W13">
        <v>1.4999999999999999E-2</v>
      </c>
      <c r="Y13">
        <v>1.4999999999999999E-2</v>
      </c>
      <c r="Z13" s="83">
        <v>22579</v>
      </c>
      <c r="AA13" s="83">
        <f>SUMPRODUCT($V$1:$Y$1,V13:Y13)+Z13</f>
        <v>29179</v>
      </c>
      <c r="AB13" s="83">
        <f>AA13-F13</f>
        <v>0</v>
      </c>
    </row>
    <row r="14" spans="2:28" ht="15.75" x14ac:dyDescent="0.3">
      <c r="B14" s="77" t="s">
        <v>63</v>
      </c>
      <c r="C14" s="77" t="s">
        <v>25</v>
      </c>
      <c r="D14" s="77" t="s">
        <v>44</v>
      </c>
      <c r="E14" s="77"/>
      <c r="F14" s="78">
        <v>0.25</v>
      </c>
      <c r="G14" s="23">
        <f t="shared" si="0"/>
        <v>0.25</v>
      </c>
      <c r="H14" s="23">
        <f t="shared" si="0"/>
        <v>0.25</v>
      </c>
      <c r="I14" s="23">
        <f t="shared" si="0"/>
        <v>0.25</v>
      </c>
      <c r="J14" s="23">
        <f t="shared" si="0"/>
        <v>0.25</v>
      </c>
      <c r="K14" s="4"/>
      <c r="L14" s="4"/>
      <c r="M14" s="4"/>
      <c r="N14" s="4"/>
      <c r="O14" s="4"/>
      <c r="P14" s="4"/>
      <c r="Q14" s="4"/>
      <c r="R14" s="4"/>
      <c r="S14" s="4"/>
      <c r="T14" s="4"/>
      <c r="Z14" s="83"/>
    </row>
    <row r="15" spans="2:28" ht="15.75" customHeight="1" x14ac:dyDescent="0.25">
      <c r="B15" s="77" t="s">
        <v>63</v>
      </c>
      <c r="C15" s="77" t="s">
        <v>25</v>
      </c>
      <c r="D15" s="77" t="s">
        <v>43</v>
      </c>
      <c r="F15" s="79">
        <f>0.015*270000+0.015*170000+9450</f>
        <v>16050</v>
      </c>
      <c r="G15" s="22">
        <f t="shared" si="0"/>
        <v>16050</v>
      </c>
      <c r="H15" s="22">
        <f t="shared" si="0"/>
        <v>16050</v>
      </c>
      <c r="I15" s="22">
        <f t="shared" si="0"/>
        <v>16050</v>
      </c>
      <c r="J15" s="22">
        <f t="shared" si="0"/>
        <v>16050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W15">
        <v>1.4999999999999999E-2</v>
      </c>
      <c r="Y15">
        <v>1.4999999999999999E-2</v>
      </c>
      <c r="Z15" s="83">
        <v>9450</v>
      </c>
      <c r="AA15" s="83">
        <f>SUMPRODUCT($V$1:$Y$1,V15:Y15)+Z15</f>
        <v>16050</v>
      </c>
      <c r="AB15" s="83">
        <f>AA15-F15</f>
        <v>0</v>
      </c>
    </row>
    <row r="16" spans="2:28" ht="15.75" x14ac:dyDescent="0.3">
      <c r="B16" s="77" t="s">
        <v>64</v>
      </c>
      <c r="C16" s="77" t="s">
        <v>25</v>
      </c>
      <c r="D16" s="77" t="s">
        <v>44</v>
      </c>
      <c r="E16" s="77"/>
      <c r="F16" s="78">
        <v>0.4</v>
      </c>
      <c r="G16" s="23">
        <f t="shared" si="0"/>
        <v>0.4</v>
      </c>
      <c r="H16" s="23">
        <f t="shared" si="0"/>
        <v>0.4</v>
      </c>
      <c r="I16" s="23">
        <f t="shared" si="0"/>
        <v>0.4</v>
      </c>
      <c r="J16" s="23">
        <f t="shared" si="0"/>
        <v>0.4</v>
      </c>
      <c r="K16" s="4"/>
      <c r="L16" s="4"/>
      <c r="M16" s="4"/>
      <c r="N16" s="4"/>
      <c r="O16" s="4"/>
      <c r="P16" s="4"/>
      <c r="Q16" s="4"/>
      <c r="R16" s="4"/>
      <c r="S16" s="4"/>
      <c r="T16" s="4"/>
      <c r="Z16" s="83"/>
    </row>
    <row r="17" spans="2:28" ht="15.75" customHeight="1" x14ac:dyDescent="0.25">
      <c r="B17" s="77" t="s">
        <v>64</v>
      </c>
      <c r="C17" s="77" t="s">
        <v>25</v>
      </c>
      <c r="D17" s="77" t="s">
        <v>43</v>
      </c>
      <c r="F17" s="79">
        <f>0.015*270000+0.015*170000+141515</f>
        <v>148115</v>
      </c>
      <c r="G17" s="22">
        <f t="shared" si="0"/>
        <v>148115</v>
      </c>
      <c r="H17" s="22">
        <f t="shared" si="0"/>
        <v>148115</v>
      </c>
      <c r="I17" s="22">
        <f t="shared" si="0"/>
        <v>148115</v>
      </c>
      <c r="J17" s="22">
        <f t="shared" si="0"/>
        <v>148115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W17">
        <v>1.4999999999999999E-2</v>
      </c>
      <c r="Y17">
        <v>1.4999999999999999E-2</v>
      </c>
      <c r="Z17" s="83">
        <v>141515</v>
      </c>
      <c r="AA17" s="83">
        <f>SUMPRODUCT($V$1:$Y$1,V17:Y17)+Z17</f>
        <v>148115</v>
      </c>
      <c r="AB17" s="83">
        <f>AA17-F17</f>
        <v>0</v>
      </c>
    </row>
    <row r="18" spans="2:28" ht="15.75" customHeight="1" x14ac:dyDescent="0.3">
      <c r="B18" s="77" t="s">
        <v>65</v>
      </c>
      <c r="C18" s="77" t="s">
        <v>25</v>
      </c>
      <c r="D18" s="77" t="s">
        <v>44</v>
      </c>
      <c r="E18" s="77"/>
      <c r="F18" s="78">
        <v>0.5</v>
      </c>
      <c r="G18" s="23">
        <f t="shared" si="0"/>
        <v>0.5</v>
      </c>
      <c r="H18" s="23">
        <f t="shared" si="0"/>
        <v>0.5</v>
      </c>
      <c r="I18" s="23">
        <f t="shared" si="0"/>
        <v>0.5</v>
      </c>
      <c r="J18" s="23">
        <f t="shared" si="0"/>
        <v>0.5</v>
      </c>
      <c r="K18" s="4"/>
      <c r="L18" s="4"/>
      <c r="M18" s="4"/>
      <c r="N18" s="4"/>
      <c r="O18" s="4"/>
      <c r="P18" s="4"/>
      <c r="Q18" s="4"/>
      <c r="R18" s="4"/>
      <c r="S18" s="4"/>
      <c r="T18" s="4"/>
      <c r="Z18" s="83"/>
    </row>
    <row r="19" spans="2:28" ht="15.75" customHeight="1" x14ac:dyDescent="0.25">
      <c r="B19" s="77" t="s">
        <v>65</v>
      </c>
      <c r="C19" s="77" t="s">
        <v>25</v>
      </c>
      <c r="D19" s="77" t="s">
        <v>43</v>
      </c>
      <c r="F19" s="79">
        <f>0.015*270000+0.035*170000+0</f>
        <v>10000</v>
      </c>
      <c r="G19" s="22">
        <f t="shared" si="0"/>
        <v>10000</v>
      </c>
      <c r="H19" s="22">
        <f t="shared" si="0"/>
        <v>10000</v>
      </c>
      <c r="I19" s="22">
        <f t="shared" si="0"/>
        <v>10000</v>
      </c>
      <c r="J19" s="22">
        <f t="shared" si="0"/>
        <v>10000</v>
      </c>
      <c r="K19" s="21"/>
      <c r="L19" s="21"/>
      <c r="M19" s="21"/>
      <c r="N19" s="21"/>
      <c r="O19" s="21"/>
      <c r="P19" s="21"/>
      <c r="Q19" s="21"/>
      <c r="R19" s="21"/>
      <c r="S19" s="21"/>
      <c r="T19" s="21"/>
      <c r="W19">
        <v>1.4999999999999999E-2</v>
      </c>
      <c r="Y19">
        <v>3.5000000000000003E-2</v>
      </c>
      <c r="Z19" s="83">
        <v>0</v>
      </c>
      <c r="AA19" s="83">
        <f>SUMPRODUCT($V$1:$Y$1,V19:Y19)+Z19</f>
        <v>10000</v>
      </c>
      <c r="AB19" s="83">
        <f>AA19-F19</f>
        <v>0</v>
      </c>
    </row>
    <row r="20" spans="2:28" ht="15.75" customHeight="1" x14ac:dyDescent="0.3">
      <c r="B20" s="77" t="s">
        <v>68</v>
      </c>
      <c r="C20" s="77" t="s">
        <v>26</v>
      </c>
      <c r="D20" s="77" t="s">
        <v>44</v>
      </c>
      <c r="E20" s="77"/>
      <c r="F20" s="81">
        <v>0.3</v>
      </c>
      <c r="G20" s="25">
        <f t="shared" si="0"/>
        <v>0.3</v>
      </c>
      <c r="H20" s="25">
        <f t="shared" si="0"/>
        <v>0.3</v>
      </c>
      <c r="I20" s="25">
        <f t="shared" si="0"/>
        <v>0.3</v>
      </c>
      <c r="J20" s="25">
        <f t="shared" si="0"/>
        <v>0.3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Z20" s="83"/>
    </row>
    <row r="21" spans="2:28" ht="15.75" customHeight="1" x14ac:dyDescent="0.25">
      <c r="B21" s="77" t="s">
        <v>68</v>
      </c>
      <c r="C21" s="77" t="s">
        <v>26</v>
      </c>
      <c r="D21" s="77" t="s">
        <v>43</v>
      </c>
      <c r="F21" s="79">
        <f>0.2*270000+0.1*210000+0.05*170000+16000</f>
        <v>99500</v>
      </c>
      <c r="G21" s="22">
        <f t="shared" si="0"/>
        <v>99500</v>
      </c>
      <c r="H21" s="22">
        <f t="shared" si="0"/>
        <v>99500</v>
      </c>
      <c r="I21" s="22">
        <f t="shared" si="0"/>
        <v>99500</v>
      </c>
      <c r="J21" s="22">
        <f t="shared" si="0"/>
        <v>99500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W21">
        <v>0.2</v>
      </c>
      <c r="X21">
        <v>0.1</v>
      </c>
      <c r="Y21">
        <v>0.05</v>
      </c>
      <c r="Z21" s="83">
        <v>16000</v>
      </c>
      <c r="AA21" s="83">
        <f>SUMPRODUCT($V$1:$Y$1,V21:Y21)+Z21</f>
        <v>99500</v>
      </c>
      <c r="AB21" s="83">
        <f>AA21-F21</f>
        <v>0</v>
      </c>
    </row>
    <row r="22" spans="2:28" ht="15" customHeight="1" x14ac:dyDescent="0.3">
      <c r="B22" s="77" t="s">
        <v>73</v>
      </c>
      <c r="C22" s="77" t="s">
        <v>26</v>
      </c>
      <c r="D22" s="77" t="s">
        <v>44</v>
      </c>
      <c r="F22" s="81">
        <v>0.15</v>
      </c>
      <c r="G22" s="25">
        <f t="shared" si="0"/>
        <v>0.15</v>
      </c>
      <c r="H22" s="25">
        <f t="shared" si="0"/>
        <v>0.15</v>
      </c>
      <c r="I22" s="25">
        <f t="shared" si="0"/>
        <v>0.15</v>
      </c>
      <c r="J22" s="25">
        <f t="shared" si="0"/>
        <v>0.15</v>
      </c>
      <c r="K22" s="5"/>
      <c r="L22" s="5"/>
      <c r="M22" s="5"/>
      <c r="N22" s="5"/>
      <c r="O22" s="4"/>
      <c r="P22" s="4"/>
      <c r="Q22" s="4"/>
      <c r="R22" s="4"/>
      <c r="S22" s="4"/>
      <c r="T22" s="4"/>
      <c r="Z22" s="83"/>
    </row>
    <row r="23" spans="2:28" ht="15" customHeight="1" x14ac:dyDescent="0.25">
      <c r="B23" s="77" t="s">
        <v>73</v>
      </c>
      <c r="C23" s="77" t="s">
        <v>26</v>
      </c>
      <c r="D23" s="77" t="s">
        <v>43</v>
      </c>
      <c r="F23" s="79">
        <f>0.2*270000+0.1*210000+0.05*170000+32000</f>
        <v>115500</v>
      </c>
      <c r="G23" s="22">
        <f t="shared" si="0"/>
        <v>115500</v>
      </c>
      <c r="H23" s="22">
        <f t="shared" si="0"/>
        <v>115500</v>
      </c>
      <c r="I23" s="22">
        <f t="shared" si="0"/>
        <v>115500</v>
      </c>
      <c r="J23" s="22">
        <f t="shared" si="0"/>
        <v>115500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  <c r="W23">
        <v>0.2</v>
      </c>
      <c r="X23">
        <v>0.1</v>
      </c>
      <c r="Y23">
        <v>0.05</v>
      </c>
      <c r="Z23" s="83">
        <v>32000</v>
      </c>
      <c r="AA23" s="83">
        <f>SUMPRODUCT($V$1:$Y$1,V23:Y23)+Z23</f>
        <v>115500</v>
      </c>
      <c r="AB23" s="83">
        <f>AA23-F23</f>
        <v>0</v>
      </c>
    </row>
    <row r="24" spans="2:28" ht="15" customHeight="1" x14ac:dyDescent="0.25">
      <c r="B24" s="77" t="s">
        <v>68</v>
      </c>
      <c r="C24" s="77" t="s">
        <v>67</v>
      </c>
      <c r="D24" s="77" t="s">
        <v>44</v>
      </c>
      <c r="E24" s="77"/>
      <c r="F24" s="80">
        <v>0.3</v>
      </c>
      <c r="G24" s="24">
        <f t="shared" ref="G24:J37" si="1">+F24</f>
        <v>0.3</v>
      </c>
      <c r="H24" s="24">
        <f t="shared" si="1"/>
        <v>0.3</v>
      </c>
      <c r="I24" s="24">
        <f t="shared" si="1"/>
        <v>0.3</v>
      </c>
      <c r="J24" s="24">
        <f t="shared" si="1"/>
        <v>0.3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Z24" s="83"/>
    </row>
    <row r="25" spans="2:28" x14ac:dyDescent="0.25">
      <c r="B25" s="77" t="s">
        <v>68</v>
      </c>
      <c r="C25" s="77" t="s">
        <v>67</v>
      </c>
      <c r="D25" s="77" t="s">
        <v>43</v>
      </c>
      <c r="F25" s="79">
        <f>0.05*270000+0.4*170000+13500</f>
        <v>95000</v>
      </c>
      <c r="G25" s="22">
        <f t="shared" si="1"/>
        <v>95000</v>
      </c>
      <c r="H25" s="22">
        <f t="shared" si="1"/>
        <v>95000</v>
      </c>
      <c r="I25" s="22">
        <f t="shared" si="1"/>
        <v>95000</v>
      </c>
      <c r="J25" s="22">
        <f t="shared" si="1"/>
        <v>95000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W25">
        <v>0.05</v>
      </c>
      <c r="Y25">
        <v>0.4</v>
      </c>
      <c r="Z25" s="83">
        <v>13500</v>
      </c>
      <c r="AA25" s="83">
        <f>SUMPRODUCT($V$1:$Y$1,V25:Y25)+Z25</f>
        <v>95000</v>
      </c>
      <c r="AB25" s="83">
        <f>AA25-F25</f>
        <v>0</v>
      </c>
    </row>
    <row r="26" spans="2:28" ht="15" customHeight="1" x14ac:dyDescent="0.3">
      <c r="B26" s="77" t="s">
        <v>74</v>
      </c>
      <c r="C26" s="77" t="s">
        <v>67</v>
      </c>
      <c r="D26" s="77" t="s">
        <v>44</v>
      </c>
      <c r="F26" s="80">
        <v>0.35</v>
      </c>
      <c r="G26" s="24">
        <f t="shared" si="1"/>
        <v>0.35</v>
      </c>
      <c r="H26" s="24">
        <f t="shared" si="1"/>
        <v>0.35</v>
      </c>
      <c r="I26" s="24">
        <f t="shared" si="1"/>
        <v>0.35</v>
      </c>
      <c r="J26" s="24">
        <f t="shared" si="1"/>
        <v>0.35</v>
      </c>
      <c r="K26" s="3"/>
      <c r="L26" s="3"/>
      <c r="M26" s="3"/>
      <c r="N26" s="3"/>
      <c r="O26" s="3"/>
      <c r="P26" s="3"/>
      <c r="Q26" s="3"/>
      <c r="R26" s="3"/>
      <c r="S26" s="3"/>
      <c r="T26" s="3"/>
      <c r="Z26" s="83"/>
    </row>
    <row r="27" spans="2:28" x14ac:dyDescent="0.25">
      <c r="B27" s="77" t="s">
        <v>74</v>
      </c>
      <c r="C27" s="77" t="s">
        <v>67</v>
      </c>
      <c r="D27" s="77" t="s">
        <v>43</v>
      </c>
      <c r="F27" s="79">
        <f>0.05*270000+0.4*170000+14940</f>
        <v>96440</v>
      </c>
      <c r="G27" s="22">
        <f t="shared" si="1"/>
        <v>96440</v>
      </c>
      <c r="H27" s="22">
        <f t="shared" si="1"/>
        <v>96440</v>
      </c>
      <c r="I27" s="22">
        <f t="shared" si="1"/>
        <v>96440</v>
      </c>
      <c r="J27" s="22">
        <f t="shared" si="1"/>
        <v>96440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W27">
        <v>0.05</v>
      </c>
      <c r="Y27">
        <v>0.4</v>
      </c>
      <c r="Z27" s="83">
        <v>14940</v>
      </c>
      <c r="AA27" s="83">
        <f>SUMPRODUCT($V$1:$Y$1,V27:Y27)+Z27</f>
        <v>96440</v>
      </c>
      <c r="AB27" s="83">
        <f>AA27-F27</f>
        <v>0</v>
      </c>
    </row>
    <row r="28" spans="2:28" ht="15" customHeight="1" x14ac:dyDescent="0.25">
      <c r="B28" s="77" t="s">
        <v>75</v>
      </c>
      <c r="C28" s="77" t="s">
        <v>67</v>
      </c>
      <c r="D28" s="77" t="s">
        <v>44</v>
      </c>
      <c r="F28" s="80">
        <v>0.2</v>
      </c>
      <c r="G28" s="24">
        <f t="shared" si="1"/>
        <v>0.2</v>
      </c>
      <c r="H28" s="24">
        <f t="shared" si="1"/>
        <v>0.2</v>
      </c>
      <c r="I28" s="24">
        <f t="shared" si="1"/>
        <v>0.2</v>
      </c>
      <c r="J28" s="24">
        <f t="shared" si="1"/>
        <v>0.2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Z28" s="83"/>
    </row>
    <row r="29" spans="2:28" ht="15" customHeight="1" x14ac:dyDescent="0.25">
      <c r="B29" s="77" t="s">
        <v>75</v>
      </c>
      <c r="C29" s="77" t="s">
        <v>67</v>
      </c>
      <c r="D29" s="77" t="s">
        <v>43</v>
      </c>
      <c r="F29" s="79">
        <f>0.05*270000+0.3*170000+26378</f>
        <v>90878</v>
      </c>
      <c r="G29" s="22">
        <f t="shared" si="1"/>
        <v>90878</v>
      </c>
      <c r="H29" s="22">
        <f t="shared" si="1"/>
        <v>90878</v>
      </c>
      <c r="I29" s="22">
        <f t="shared" si="1"/>
        <v>90878</v>
      </c>
      <c r="J29" s="22">
        <f t="shared" si="1"/>
        <v>90878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W29">
        <v>0.05</v>
      </c>
      <c r="Y29">
        <v>0.3</v>
      </c>
      <c r="Z29" s="83">
        <v>26378</v>
      </c>
      <c r="AA29" s="83">
        <f>SUMPRODUCT($V$1:$Y$1,V29:Y29)+Z29</f>
        <v>90878</v>
      </c>
      <c r="AB29" s="83">
        <f>AA29-F29</f>
        <v>0</v>
      </c>
    </row>
    <row r="30" spans="2:28" ht="15" customHeight="1" x14ac:dyDescent="0.25">
      <c r="B30" s="77" t="s">
        <v>69</v>
      </c>
      <c r="C30" s="77" t="s">
        <v>67</v>
      </c>
      <c r="D30" s="77" t="s">
        <v>44</v>
      </c>
      <c r="E30" s="77"/>
      <c r="F30" s="80">
        <v>0.25</v>
      </c>
      <c r="G30" s="24">
        <f t="shared" si="1"/>
        <v>0.25</v>
      </c>
      <c r="H30" s="24">
        <f t="shared" si="1"/>
        <v>0.25</v>
      </c>
      <c r="I30" s="24">
        <f t="shared" si="1"/>
        <v>0.25</v>
      </c>
      <c r="J30" s="24">
        <f t="shared" si="1"/>
        <v>0.25</v>
      </c>
      <c r="K30" s="21"/>
      <c r="L30" s="21"/>
      <c r="M30" s="21"/>
      <c r="N30" s="21"/>
      <c r="O30" s="21"/>
      <c r="P30" s="21"/>
      <c r="Q30" s="21"/>
      <c r="R30" s="21"/>
      <c r="S30" s="21"/>
      <c r="T30" s="21"/>
      <c r="Z30" s="83"/>
    </row>
    <row r="31" spans="2:28" ht="15" customHeight="1" x14ac:dyDescent="0.25">
      <c r="B31" s="77" t="s">
        <v>69</v>
      </c>
      <c r="C31" s="77" t="s">
        <v>67</v>
      </c>
      <c r="D31" s="77" t="s">
        <v>43</v>
      </c>
      <c r="F31" s="79">
        <f>0.05*270000+0.2*170000+3136</f>
        <v>50636</v>
      </c>
      <c r="G31" s="22">
        <f t="shared" si="1"/>
        <v>50636</v>
      </c>
      <c r="H31" s="22">
        <f t="shared" si="1"/>
        <v>50636</v>
      </c>
      <c r="I31" s="22">
        <f t="shared" si="1"/>
        <v>50636</v>
      </c>
      <c r="J31" s="22">
        <f t="shared" si="1"/>
        <v>50636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  <c r="W31">
        <v>0.05</v>
      </c>
      <c r="Y31">
        <v>0.2</v>
      </c>
      <c r="Z31" s="83">
        <v>3136</v>
      </c>
      <c r="AA31" s="83">
        <f>SUMPRODUCT($V$1:$Y$1,V31:Y31)+Z31</f>
        <v>50636</v>
      </c>
      <c r="AB31" s="83">
        <f>AA31-F31</f>
        <v>0</v>
      </c>
    </row>
    <row r="32" spans="2:28" ht="15" customHeight="1" x14ac:dyDescent="0.3">
      <c r="B32" s="77" t="s">
        <v>70</v>
      </c>
      <c r="C32" s="77" t="s">
        <v>67</v>
      </c>
      <c r="D32" s="77" t="s">
        <v>44</v>
      </c>
      <c r="E32" s="77"/>
      <c r="F32" s="80">
        <v>0.17</v>
      </c>
      <c r="G32" s="24">
        <f t="shared" si="1"/>
        <v>0.17</v>
      </c>
      <c r="H32" s="24">
        <f t="shared" si="1"/>
        <v>0.17</v>
      </c>
      <c r="I32" s="24">
        <f t="shared" si="1"/>
        <v>0.17</v>
      </c>
      <c r="J32" s="24">
        <f t="shared" si="1"/>
        <v>0.17</v>
      </c>
      <c r="K32" s="4"/>
      <c r="L32" s="4"/>
      <c r="M32" s="4"/>
      <c r="N32" s="4"/>
      <c r="O32" s="4"/>
      <c r="P32" s="4"/>
      <c r="Q32" s="4"/>
      <c r="R32" s="4"/>
      <c r="S32" s="4"/>
      <c r="T32" s="4"/>
      <c r="Z32" s="83"/>
    </row>
    <row r="33" spans="2:28" x14ac:dyDescent="0.25">
      <c r="B33" s="77" t="s">
        <v>70</v>
      </c>
      <c r="C33" t="s">
        <v>67</v>
      </c>
      <c r="D33" s="77" t="s">
        <v>43</v>
      </c>
      <c r="F33" s="79">
        <f>0.05*270000+0.2*170000+5175</f>
        <v>52675</v>
      </c>
      <c r="G33" s="22">
        <f t="shared" si="1"/>
        <v>52675</v>
      </c>
      <c r="H33" s="22">
        <f t="shared" si="1"/>
        <v>52675</v>
      </c>
      <c r="I33" s="22">
        <f t="shared" si="1"/>
        <v>52675</v>
      </c>
      <c r="J33" s="22">
        <f t="shared" si="1"/>
        <v>52675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W33">
        <v>0.05</v>
      </c>
      <c r="Y33">
        <v>0.2</v>
      </c>
      <c r="Z33" s="83">
        <v>5175</v>
      </c>
      <c r="AA33" s="83">
        <f>SUMPRODUCT($V$1:$Y$1,V33:Y33)+Z33</f>
        <v>52675</v>
      </c>
      <c r="AB33" s="83">
        <f>AA33-F33</f>
        <v>0</v>
      </c>
    </row>
    <row r="34" spans="2:28" ht="15" customHeight="1" x14ac:dyDescent="0.3">
      <c r="B34" s="77" t="s">
        <v>71</v>
      </c>
      <c r="C34" s="77" t="s">
        <v>67</v>
      </c>
      <c r="D34" s="77" t="s">
        <v>44</v>
      </c>
      <c r="F34" s="80">
        <v>0.3</v>
      </c>
      <c r="G34" s="24">
        <f t="shared" si="1"/>
        <v>0.3</v>
      </c>
      <c r="H34" s="24">
        <f t="shared" si="1"/>
        <v>0.3</v>
      </c>
      <c r="I34" s="24">
        <f t="shared" si="1"/>
        <v>0.3</v>
      </c>
      <c r="J34" s="24">
        <f t="shared" si="1"/>
        <v>0.3</v>
      </c>
      <c r="K34" s="4"/>
      <c r="L34" s="4"/>
      <c r="M34" s="4"/>
      <c r="N34" s="4"/>
      <c r="O34" s="4"/>
      <c r="P34" s="4"/>
      <c r="Q34" s="4"/>
      <c r="R34" s="4"/>
      <c r="S34" s="4"/>
      <c r="T34" s="4"/>
      <c r="Z34" s="83"/>
    </row>
    <row r="35" spans="2:28" ht="15" customHeight="1" x14ac:dyDescent="0.25">
      <c r="B35" s="77" t="s">
        <v>71</v>
      </c>
      <c r="C35" s="77" t="s">
        <v>67</v>
      </c>
      <c r="D35" s="77" t="s">
        <v>43</v>
      </c>
      <c r="F35" s="79">
        <f>0.05*270000+0.3*170000+25200</f>
        <v>89700</v>
      </c>
      <c r="G35" s="22">
        <f t="shared" si="1"/>
        <v>89700</v>
      </c>
      <c r="H35" s="22">
        <f t="shared" si="1"/>
        <v>89700</v>
      </c>
      <c r="I35" s="22">
        <f t="shared" si="1"/>
        <v>89700</v>
      </c>
      <c r="J35" s="22">
        <f t="shared" si="1"/>
        <v>89700</v>
      </c>
      <c r="K35" s="21"/>
      <c r="L35" s="21"/>
      <c r="M35" s="21"/>
      <c r="N35" s="21"/>
      <c r="O35" s="21"/>
      <c r="P35" s="21"/>
      <c r="Q35" s="21"/>
      <c r="R35" s="21"/>
      <c r="S35" s="21"/>
      <c r="T35" s="21"/>
      <c r="W35">
        <v>0.05</v>
      </c>
      <c r="Y35">
        <v>0.3</v>
      </c>
      <c r="Z35" s="83">
        <v>25200</v>
      </c>
      <c r="AA35" s="83">
        <f>SUMPRODUCT($V$1:$Y$1,V35:Y35)+Z35</f>
        <v>89700</v>
      </c>
      <c r="AB35" s="83">
        <f>AA35-F35</f>
        <v>0</v>
      </c>
    </row>
    <row r="36" spans="2:28" ht="15" customHeight="1" x14ac:dyDescent="0.3">
      <c r="B36" s="77" t="s">
        <v>72</v>
      </c>
      <c r="C36" s="77" t="s">
        <v>67</v>
      </c>
      <c r="D36" s="77" t="s">
        <v>44</v>
      </c>
      <c r="E36" s="77"/>
      <c r="F36" s="78">
        <v>0.45</v>
      </c>
      <c r="G36" s="23">
        <f t="shared" si="1"/>
        <v>0.45</v>
      </c>
      <c r="H36" s="23">
        <f t="shared" si="1"/>
        <v>0.45</v>
      </c>
      <c r="I36" s="23">
        <f t="shared" si="1"/>
        <v>0.45</v>
      </c>
      <c r="J36" s="23">
        <f t="shared" si="1"/>
        <v>0.45</v>
      </c>
      <c r="K36" s="4"/>
      <c r="L36" s="4"/>
      <c r="M36" s="4"/>
      <c r="N36" s="4"/>
      <c r="O36" s="4"/>
      <c r="P36" s="4"/>
      <c r="Q36" s="4"/>
      <c r="R36" s="4"/>
      <c r="S36" s="4"/>
      <c r="T36" s="4"/>
      <c r="Z36" s="83"/>
    </row>
    <row r="37" spans="2:28" x14ac:dyDescent="0.25">
      <c r="B37" s="77" t="s">
        <v>72</v>
      </c>
      <c r="C37" s="77" t="s">
        <v>67</v>
      </c>
      <c r="D37" s="77" t="s">
        <v>43</v>
      </c>
      <c r="F37" s="79">
        <f>0.05*270000+0.15*210000+0.15*170000+707</f>
        <v>71207</v>
      </c>
      <c r="G37" s="22">
        <f t="shared" si="1"/>
        <v>71207</v>
      </c>
      <c r="H37" s="22">
        <f t="shared" si="1"/>
        <v>71207</v>
      </c>
      <c r="I37" s="22">
        <f t="shared" si="1"/>
        <v>71207</v>
      </c>
      <c r="J37" s="22">
        <f t="shared" si="1"/>
        <v>71207</v>
      </c>
      <c r="K37" s="21"/>
      <c r="L37" s="21"/>
      <c r="M37" s="21"/>
      <c r="N37" s="21"/>
      <c r="O37" s="21"/>
      <c r="P37" s="21"/>
      <c r="Q37" s="21"/>
      <c r="R37" s="21"/>
      <c r="S37" s="21"/>
      <c r="T37" s="21"/>
      <c r="W37">
        <v>0.05</v>
      </c>
      <c r="X37">
        <v>0.15</v>
      </c>
      <c r="Y37">
        <v>0.15</v>
      </c>
      <c r="Z37" s="83">
        <v>707</v>
      </c>
      <c r="AA37" s="83">
        <f>SUMPRODUCT($V$1:$Y$1,V37:Y37)+Z37</f>
        <v>71207</v>
      </c>
      <c r="AB37" s="83">
        <f>AA37-F37</f>
        <v>0</v>
      </c>
    </row>
    <row r="39" spans="2:28" x14ac:dyDescent="0.25">
      <c r="D39" s="77" t="s">
        <v>83</v>
      </c>
      <c r="F39" s="79">
        <v>80000</v>
      </c>
      <c r="G39" s="79">
        <v>88000</v>
      </c>
      <c r="H39" s="79">
        <v>88000</v>
      </c>
      <c r="I39" s="79">
        <v>88000</v>
      </c>
      <c r="J39" s="79">
        <v>88000</v>
      </c>
    </row>
    <row r="48" spans="2:28" x14ac:dyDescent="0.25">
      <c r="B48" s="77" t="s">
        <v>58</v>
      </c>
      <c r="C48" t="s">
        <v>25</v>
      </c>
      <c r="F48" t="str">
        <f t="shared" ref="F48:F57" si="2">C48&amp;" : "&amp;B48</f>
        <v>Rivalea : 1. Loose Farrowing and Lactation Studies - SWAP / Pig Safe / Group Lactation</v>
      </c>
    </row>
    <row r="49" spans="2:6" x14ac:dyDescent="0.25">
      <c r="B49" s="77" t="s">
        <v>59</v>
      </c>
      <c r="C49" t="s">
        <v>25</v>
      </c>
      <c r="F49" t="str">
        <f t="shared" si="2"/>
        <v>Rivalea : 2. Commercial Lactation Studies</v>
      </c>
    </row>
    <row r="50" spans="2:6" x14ac:dyDescent="0.25">
      <c r="B50" s="77" t="s">
        <v>60</v>
      </c>
      <c r="C50" t="s">
        <v>25</v>
      </c>
      <c r="F50" t="str">
        <f t="shared" si="2"/>
        <v>Rivalea : 3. Commercial gestating sow studies - Group pen or ESF</v>
      </c>
    </row>
    <row r="51" spans="2:6" x14ac:dyDescent="0.25">
      <c r="B51" s="77" t="s">
        <v>61</v>
      </c>
      <c r="C51" t="s">
        <v>25</v>
      </c>
      <c r="F51" t="str">
        <f t="shared" si="2"/>
        <v>Rivalea : 4. Weaner Discovery Facility - R&amp;I specialized facility</v>
      </c>
    </row>
    <row r="52" spans="2:6" x14ac:dyDescent="0.25">
      <c r="B52" s="77" t="s">
        <v>62</v>
      </c>
      <c r="C52" t="s">
        <v>25</v>
      </c>
      <c r="F52" t="str">
        <f t="shared" si="2"/>
        <v>Rivalea : 5. Weaner Studies - Commercial pens</v>
      </c>
    </row>
    <row r="53" spans="2:6" x14ac:dyDescent="0.25">
      <c r="B53" s="77" t="s">
        <v>63</v>
      </c>
      <c r="C53" t="s">
        <v>25</v>
      </c>
      <c r="F53" t="str">
        <f t="shared" si="2"/>
        <v>Rivalea : 6. Grower Finisher: Individual - R&amp;I specialized facility</v>
      </c>
    </row>
    <row r="54" spans="2:6" x14ac:dyDescent="0.25">
      <c r="B54" s="77" t="s">
        <v>64</v>
      </c>
      <c r="C54" t="s">
        <v>25</v>
      </c>
      <c r="F54" t="str">
        <f t="shared" si="2"/>
        <v>Rivalea : 7. Grower Finisher: Commercial or Big Dutchman - Nutritional evaluations</v>
      </c>
    </row>
    <row r="55" spans="2:6" x14ac:dyDescent="0.25">
      <c r="B55" s="77" t="s">
        <v>65</v>
      </c>
      <c r="C55" t="s">
        <v>25</v>
      </c>
      <c r="F55" t="str">
        <f t="shared" si="2"/>
        <v>Rivalea : 8. Meat Science and Quality</v>
      </c>
    </row>
    <row r="56" spans="2:6" x14ac:dyDescent="0.25">
      <c r="B56" s="77" t="s">
        <v>68</v>
      </c>
      <c r="C56" t="s">
        <v>26</v>
      </c>
      <c r="F56" t="str">
        <f t="shared" si="2"/>
        <v>Roseworthy : 1. Sow Model - Lactating studies, Farrowing house</v>
      </c>
    </row>
    <row r="57" spans="2:6" x14ac:dyDescent="0.25">
      <c r="B57" s="77" t="s">
        <v>73</v>
      </c>
      <c r="C57" t="s">
        <v>26</v>
      </c>
      <c r="F57" t="str">
        <f t="shared" si="2"/>
        <v>Roseworthy : 2. Sow model - Group pen gestating</v>
      </c>
    </row>
    <row r="58" spans="2:6" x14ac:dyDescent="0.25">
      <c r="B58" s="77" t="s">
        <v>68</v>
      </c>
      <c r="C58" t="s">
        <v>67</v>
      </c>
      <c r="F58" t="str">
        <f t="shared" ref="F58:F64" si="3">C58&amp;" : "&amp;B58</f>
        <v>SunPork : 1. Sow Model - Lactating studies, Farrowing house</v>
      </c>
    </row>
    <row r="59" spans="2:6" x14ac:dyDescent="0.25">
      <c r="B59" s="77" t="s">
        <v>74</v>
      </c>
      <c r="C59" t="s">
        <v>67</v>
      </c>
      <c r="F59" t="str">
        <f t="shared" si="3"/>
        <v>SunPork : 2. Sow Model - Free movement farrowing crates</v>
      </c>
    </row>
    <row r="60" spans="2:6" x14ac:dyDescent="0.25">
      <c r="B60" s="77" t="s">
        <v>75</v>
      </c>
      <c r="C60" t="s">
        <v>67</v>
      </c>
      <c r="F60" t="str">
        <f t="shared" si="3"/>
        <v>SunPork : 3. Sow Model - Group pen gestating, ESF</v>
      </c>
    </row>
    <row r="61" spans="2:6" x14ac:dyDescent="0.25">
      <c r="B61" s="77" t="s">
        <v>69</v>
      </c>
      <c r="C61" t="s">
        <v>67</v>
      </c>
      <c r="F61" t="str">
        <f t="shared" si="3"/>
        <v>SunPork : 4. Weaner Model - Group</v>
      </c>
    </row>
    <row r="62" spans="2:6" x14ac:dyDescent="0.25">
      <c r="B62" s="77" t="s">
        <v>70</v>
      </c>
      <c r="C62" t="s">
        <v>67</v>
      </c>
      <c r="F62" t="str">
        <f t="shared" si="3"/>
        <v>SunPork : 5. Grower Finisher Model - Group Pen, Westbrook</v>
      </c>
    </row>
    <row r="63" spans="2:6" x14ac:dyDescent="0.25">
      <c r="B63" s="77" t="s">
        <v>71</v>
      </c>
      <c r="C63" t="s">
        <v>67</v>
      </c>
      <c r="F63" t="str">
        <f t="shared" ref="F63" si="4">C63&amp;" : "&amp;B63</f>
        <v>SunPork : 6. Grower Finisher Model - Group Pen, Brinkley</v>
      </c>
    </row>
    <row r="64" spans="2:6" x14ac:dyDescent="0.25">
      <c r="B64" s="77" t="s">
        <v>72</v>
      </c>
      <c r="C64" t="s">
        <v>67</v>
      </c>
      <c r="F64" t="str">
        <f t="shared" si="3"/>
        <v>SunPork : 7. Meat carcase and quality assessment</v>
      </c>
    </row>
  </sheetData>
  <sheetProtection algorithmName="SHA-512" hashValue="/PPOs05ZYyyFs154VsId4ZodAnrAywMPv54IG8wJtbWVCQSYppam3XpmZMiTkcowqZ2F7SvJPdBqI4KdEKQD7Q==" saltValue="okwjWNgVbNnP7eeieTUn6w==" spinCount="100000" sheet="1" objects="1" scenarios="1"/>
  <autoFilter ref="B2:D37" xr:uid="{00000000-0001-0000-0300-000000000000}"/>
  <sortState xmlns:xlrd2="http://schemas.microsoft.com/office/spreadsheetml/2017/richdata2" ref="B4:T37">
    <sortCondition ref="C4:C37"/>
    <sortCondition ref="B4:B37"/>
  </sortState>
  <phoneticPr fontId="16" type="noConversion"/>
  <conditionalFormatting sqref="F39:J39">
    <cfRule type="cellIs" dxfId="1" priority="1" operator="equal">
      <formula>0</formula>
    </cfRule>
  </conditionalFormatting>
  <conditionalFormatting sqref="F4:T37">
    <cfRule type="cellIs" dxfId="0" priority="3" operator="equal">
      <formula>0</formula>
    </cfRule>
  </conditionalFormatting>
  <dataValidations count="2">
    <dataValidation type="list" allowBlank="1" showInputMessage="1" showErrorMessage="1" sqref="D1 D53:D1048576 D4:D38 D40:D48" xr:uid="{00000000-0002-0000-0300-000000000000}">
      <formula1>FTE_Category</formula1>
    </dataValidation>
    <dataValidation type="list" allowBlank="1" showInputMessage="1" showErrorMessage="1" sqref="C38:C47 C65:C1048576 C1:C3 D2:D3 E1:E1048576" xr:uid="{00000000-0002-0000-0300-000001000000}">
      <formula1>Budget_Type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Budget</vt:lpstr>
      <vt:lpstr>Milestones</vt:lpstr>
      <vt:lpstr>Facility funding</vt:lpstr>
      <vt:lpstr>data</vt:lpstr>
      <vt:lpstr>Facilities</vt:lpstr>
      <vt:lpstr>facility_categories</vt:lpstr>
      <vt:lpstr>FFYears</vt:lpstr>
      <vt:lpstr>Budget!Print_Area</vt:lpstr>
      <vt:lpstr>Budget!Print_Titles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Jeffrey</dc:creator>
  <cp:lastModifiedBy>Charles Rikard-Bell</cp:lastModifiedBy>
  <cp:lastPrinted>2019-09-13T00:49:10Z</cp:lastPrinted>
  <dcterms:created xsi:type="dcterms:W3CDTF">2012-01-18T03:25:58Z</dcterms:created>
  <dcterms:modified xsi:type="dcterms:W3CDTF">2024-10-11T03:48:22Z</dcterms:modified>
</cp:coreProperties>
</file>